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264" windowHeight="6372" firstSheet="1" activeTab="1"/>
  </bookViews>
  <sheets>
    <sheet name="水分析数据输入" sheetId="4" state="hidden" r:id="rId1"/>
    <sheet name="水分析报告" sheetId="2" r:id="rId2"/>
  </sheets>
  <calcPr calcId="125725"/>
</workbook>
</file>

<file path=xl/calcChain.xml><?xml version="1.0" encoding="utf-8"?>
<calcChain xmlns="http://schemas.openxmlformats.org/spreadsheetml/2006/main">
  <c r="C29" i="2"/>
  <c r="D24"/>
  <c r="D22"/>
  <c r="D21"/>
  <c r="D20"/>
  <c r="F18"/>
  <c r="F17"/>
  <c r="D16"/>
  <c r="F16" s="1"/>
  <c r="D15"/>
  <c r="F15" s="1"/>
  <c r="D14"/>
  <c r="F14" s="1"/>
  <c r="D12"/>
  <c r="F12" s="1"/>
  <c r="D11"/>
  <c r="F11" s="1"/>
  <c r="D23" l="1"/>
  <c r="F19"/>
  <c r="F10" s="1"/>
  <c r="D19"/>
  <c r="D27" l="1"/>
  <c r="D25"/>
  <c r="D26"/>
  <c r="F13"/>
  <c r="D10"/>
  <c r="D13" s="1"/>
  <c r="D28" s="1"/>
</calcChain>
</file>

<file path=xl/sharedStrings.xml><?xml version="1.0" encoding="utf-8"?>
<sst xmlns="http://schemas.openxmlformats.org/spreadsheetml/2006/main" count="98" uniqueCount="82">
  <si>
    <t>标准溶液浓度</t>
  </si>
  <si>
    <r>
      <rPr>
        <b/>
        <sz val="9"/>
        <rFont val="Times New Roman"/>
        <family val="1"/>
      </rPr>
      <t xml:space="preserve">HCl          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</si>
  <si>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NaOH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</si>
  <si>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EDTA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</si>
  <si>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10"/>
        <rFont val="Times New Roman"/>
        <family val="1"/>
      </rPr>
      <t>AgNO</t>
    </r>
    <r>
      <rPr>
        <b/>
        <vertAlign val="subscript"/>
        <sz val="10"/>
        <rFont val="Times New Roman"/>
        <family val="1"/>
      </rPr>
      <t xml:space="preserve">3                          </t>
    </r>
    <r>
      <rPr>
        <b/>
        <sz val="10"/>
        <rFont val="宋体"/>
        <family val="3"/>
        <charset val="134"/>
      </rPr>
      <t>（mol/L）</t>
    </r>
  </si>
  <si>
    <t>分析项目</t>
  </si>
  <si>
    <t>标准溶液</t>
  </si>
  <si>
    <r>
      <rPr>
        <b/>
        <sz val="12"/>
        <rFont val="宋体"/>
        <family val="3"/>
        <charset val="134"/>
      </rPr>
      <t>取样量（</t>
    </r>
    <r>
      <rPr>
        <b/>
        <sz val="12"/>
        <rFont val="Times New Roman"/>
        <family val="1"/>
      </rPr>
      <t>ml</t>
    </r>
    <r>
      <rPr>
        <b/>
        <sz val="12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</si>
  <si>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标准溶液用量（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</si>
  <si>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空白（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</si>
  <si>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2"/>
        <rFont val="Times New Roman"/>
        <family val="1"/>
      </rPr>
      <t>HCO</t>
    </r>
    <r>
      <rPr>
        <b/>
        <vertAlign val="subscript"/>
        <sz val="12"/>
        <rFont val="Times New Roman"/>
        <family val="1"/>
      </rPr>
      <t>3</t>
    </r>
    <r>
      <rPr>
        <b/>
        <vertAlign val="superscript"/>
        <sz val="12"/>
        <rFont val="Times New Roman"/>
        <family val="1"/>
      </rPr>
      <t>-</t>
    </r>
  </si>
  <si>
    <t>HCl</t>
  </si>
  <si>
    <t>游离二氧化碳</t>
  </si>
  <si>
    <t>NaOH</t>
  </si>
  <si>
    <t>总硬度</t>
  </si>
  <si>
    <t xml:space="preserve">EDTA </t>
  </si>
  <si>
    <r>
      <rPr>
        <b/>
        <sz val="12"/>
        <rFont val="宋体"/>
        <family val="3"/>
        <charset val="134"/>
      </rPr>
      <t>钙离子</t>
    </r>
    <r>
      <rPr>
        <b/>
        <sz val="12"/>
        <rFont val="Times New Roman"/>
        <family val="1"/>
      </rPr>
      <t>Ca</t>
    </r>
    <r>
      <rPr>
        <b/>
        <vertAlign val="superscript"/>
        <sz val="12"/>
        <rFont val="Times New Roman"/>
        <family val="1"/>
      </rPr>
      <t>2+</t>
    </r>
  </si>
  <si>
    <r>
      <rPr>
        <b/>
        <sz val="12"/>
        <rFont val="宋体"/>
        <family val="3"/>
        <charset val="134"/>
      </rPr>
      <t>硫酸根</t>
    </r>
    <r>
      <rPr>
        <b/>
        <sz val="12"/>
        <rFont val="Times New Roman"/>
        <family val="1"/>
      </rPr>
      <t>SO</t>
    </r>
    <r>
      <rPr>
        <b/>
        <vertAlign val="subscript"/>
        <sz val="12"/>
        <rFont val="Times New Roman"/>
        <family val="1"/>
      </rPr>
      <t>4</t>
    </r>
    <r>
      <rPr>
        <b/>
        <vertAlign val="superscript"/>
        <sz val="12"/>
        <rFont val="Times New Roman"/>
        <family val="1"/>
      </rPr>
      <t>2-</t>
    </r>
  </si>
  <si>
    <r>
      <rPr>
        <b/>
        <sz val="12"/>
        <rFont val="宋体"/>
        <family val="3"/>
        <charset val="134"/>
      </rPr>
      <t>氯离子</t>
    </r>
    <r>
      <rPr>
        <b/>
        <sz val="12"/>
        <rFont val="Times New Roman"/>
        <family val="1"/>
      </rPr>
      <t>Cl</t>
    </r>
    <r>
      <rPr>
        <b/>
        <vertAlign val="superscript"/>
        <sz val="12"/>
        <rFont val="Times New Roman"/>
        <family val="1"/>
      </rPr>
      <t>-</t>
    </r>
  </si>
  <si>
    <r>
      <rPr>
        <b/>
        <sz val="12"/>
        <rFont val="Times New Roman"/>
        <family val="1"/>
      </rPr>
      <t>AgNO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</t>
    </r>
  </si>
  <si>
    <t>侵蚀性二氧化碳</t>
  </si>
  <si>
    <r>
      <rPr>
        <b/>
        <sz val="12"/>
        <rFont val="Times New Roman"/>
        <family val="1"/>
      </rPr>
      <t>pH</t>
    </r>
    <r>
      <rPr>
        <b/>
        <sz val="12"/>
        <rFont val="宋体"/>
        <family val="3"/>
        <charset val="134"/>
      </rPr>
      <t>值</t>
    </r>
  </si>
  <si>
    <t>工程水简项分析报告</t>
  </si>
  <si>
    <t>广州中材矿产研究测试有限公司</t>
  </si>
  <si>
    <t>委托单位：</t>
  </si>
  <si>
    <r>
      <rPr>
        <sz val="12"/>
        <rFont val="宋体"/>
        <family val="3"/>
        <charset val="134"/>
      </rPr>
      <t>执行标准：</t>
    </r>
    <r>
      <rPr>
        <sz val="12"/>
        <rFont val="Times New Roman"/>
        <family val="1"/>
      </rPr>
      <t>DZ/T0064.1~0064.80-93</t>
    </r>
  </si>
  <si>
    <r>
      <rPr>
        <sz val="9"/>
        <rFont val="宋体"/>
        <family val="3"/>
        <charset val="134"/>
      </rPr>
      <t>表格编号：</t>
    </r>
    <r>
      <rPr>
        <sz val="9"/>
        <rFont val="Times New Roman"/>
        <family val="1"/>
      </rPr>
      <t>GZZC/E-01-09</t>
    </r>
  </si>
  <si>
    <t>量的符号</t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</si>
  <si>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(mg/L)</t>
    </r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</si>
  <si>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(mmol/L)</t>
    </r>
  </si>
  <si>
    <t>阳离子</t>
  </si>
  <si>
    <r>
      <rPr>
        <sz val="12"/>
        <rFont val="宋体"/>
        <family val="3"/>
        <charset val="134"/>
      </rPr>
      <t>钾离子</t>
    </r>
    <r>
      <rPr>
        <sz val="12"/>
        <rFont val="Times New Roman"/>
        <family val="1"/>
      </rPr>
      <t>+</t>
    </r>
    <r>
      <rPr>
        <sz val="12"/>
        <rFont val="宋体"/>
        <family val="3"/>
        <charset val="134"/>
      </rPr>
      <t>钠离子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</si>
  <si>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(K</t>
    </r>
    <r>
      <rPr>
        <vertAlign val="superscript"/>
        <sz val="11"/>
        <rFont val="Times New Roman"/>
        <family val="1"/>
      </rPr>
      <t>+</t>
    </r>
    <r>
      <rPr>
        <sz val="11"/>
        <rFont val="Times New Roman"/>
        <family val="1"/>
      </rPr>
      <t>+Na</t>
    </r>
    <r>
      <rPr>
        <vertAlign val="superscript"/>
        <sz val="11"/>
        <rFont val="Times New Roman"/>
        <family val="1"/>
      </rPr>
      <t>+)</t>
    </r>
  </si>
  <si>
    <t>钙离子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</si>
  <si>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</si>
  <si>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</si>
  <si>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镁离子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</si>
  <si>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</si>
  <si>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</si>
  <si>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阳离子总计</t>
  </si>
  <si>
    <t>阴离子</t>
  </si>
  <si>
    <t>氯离子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</si>
  <si>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(Cl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</si>
  <si>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硫酸根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</si>
  <si>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</si>
  <si>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</si>
  <si>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重碳酸根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</si>
  <si>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(HCO</t>
    </r>
    <r>
      <rPr>
        <vertAlign val="superscript"/>
        <sz val="11"/>
        <rFont val="Times New Roman"/>
        <family val="1"/>
      </rPr>
      <t>-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</si>
  <si>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</si>
  <si>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</si>
  <si>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</si>
  <si>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氢氧根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</si>
  <si>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(OH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</si>
  <si>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阴离子总计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</si>
  <si>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(fCO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</si>
  <si>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(ECO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</si>
  <si>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酸碱度</t>
  </si>
  <si>
    <t>总酸度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</si>
  <si>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(CaCO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</si>
  <si>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总碱度</t>
  </si>
  <si>
    <t>硬度</t>
  </si>
  <si>
    <t>永久硬度</t>
  </si>
  <si>
    <t>暂时硬度</t>
  </si>
  <si>
    <t>负硬度</t>
  </si>
  <si>
    <t>矿化度</t>
  </si>
  <si>
    <r>
      <rPr>
        <sz val="12"/>
        <rFont val="Times New Roman"/>
        <family val="1"/>
      </rPr>
      <t>pH</t>
    </r>
    <r>
      <rPr>
        <sz val="12"/>
        <rFont val="宋体"/>
        <family val="3"/>
        <charset val="134"/>
      </rPr>
      <t>值</t>
    </r>
  </si>
  <si>
    <r>
      <rPr>
        <sz val="10"/>
        <rFont val="宋体"/>
        <family val="3"/>
        <charset val="134"/>
      </rPr>
      <t>地址：广州市江高镇江人路</t>
    </r>
    <r>
      <rPr>
        <sz val="10"/>
        <rFont val="Times New Roman"/>
        <family val="1"/>
      </rPr>
      <t>79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</si>
  <si>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电话：</t>
    </r>
    <r>
      <rPr>
        <sz val="10"/>
        <rFont val="Times New Roman"/>
        <family val="1"/>
      </rPr>
      <t>020-86203352</t>
    </r>
  </si>
  <si>
    <t>东莞办事处：东莞市南城胜和塘贝新村西巷14号</t>
  </si>
  <si>
    <r>
      <rPr>
        <sz val="10"/>
        <rFont val="宋体"/>
        <family val="3"/>
        <charset val="134"/>
      </rPr>
      <t>注：</t>
    </r>
    <r>
      <rPr>
        <sz val="10"/>
        <rFont val="Times New Roman"/>
        <family val="1"/>
      </rPr>
      <t xml:space="preserve">    1</t>
    </r>
    <r>
      <rPr>
        <sz val="10"/>
        <rFont val="宋体"/>
        <family val="3"/>
        <charset val="134"/>
      </rPr>
      <t>、本报告仅对来样负责；</t>
    </r>
  </si>
  <si>
    <r>
      <rPr>
        <sz val="10"/>
        <rFont val="Times New Roman"/>
        <family val="1"/>
      </rPr>
      <t xml:space="preserve">             2</t>
    </r>
    <r>
      <rPr>
        <sz val="10"/>
        <rFont val="宋体"/>
        <family val="3"/>
        <charset val="134"/>
      </rPr>
      <t>、本报告未经批准不得复制（完整复制除外）；</t>
    </r>
  </si>
  <si>
    <r>
      <rPr>
        <sz val="10"/>
        <rFont val="Times New Roman"/>
        <family val="1"/>
      </rPr>
      <t xml:space="preserve">             3</t>
    </r>
    <r>
      <rPr>
        <sz val="10"/>
        <rFont val="宋体"/>
        <family val="3"/>
        <charset val="134"/>
      </rPr>
      <t>、对本报告有疑问，请于一周内提出。</t>
    </r>
  </si>
  <si>
    <t xml:space="preserve"> 批准人：梁东阳</t>
  </si>
  <si>
    <t xml:space="preserve"> 校对：乔海霞</t>
  </si>
  <si>
    <t>试验者：李晓芬</t>
  </si>
  <si>
    <r>
      <t>ρ</t>
    </r>
    <r>
      <rPr>
        <sz val="11"/>
        <rFont val="Times New Roman"/>
        <family val="1"/>
      </rPr>
      <t>(HCO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  <phoneticPr fontId="25" type="noConversion"/>
  </si>
  <si>
    <t>工程名称：常平环保专业基地A4-02地块印花及洗水项目</t>
    <phoneticPr fontId="6" type="noConversion"/>
  </si>
  <si>
    <t>样品编号：ZK1</t>
    <phoneticPr fontId="6" type="noConversion"/>
  </si>
  <si>
    <r>
      <rPr>
        <sz val="12"/>
        <rFont val="宋体"/>
        <family val="3"/>
        <charset val="134"/>
      </rPr>
      <t>实验编号：</t>
    </r>
    <r>
      <rPr>
        <sz val="12"/>
        <rFont val="Times New Roman"/>
        <family val="1"/>
      </rPr>
      <t>2018258</t>
    </r>
    <phoneticPr fontId="6" type="noConversion"/>
  </si>
  <si>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页</t>
    </r>
    <r>
      <rPr>
        <sz val="12"/>
        <rFont val="Times New Roman"/>
        <family val="1"/>
      </rPr>
      <t xml:space="preserve">    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phoneticPr fontId="6" type="noConversion"/>
  </si>
  <si>
    <r>
      <rPr>
        <sz val="12"/>
        <rFont val="宋体"/>
        <family val="3"/>
        <charset val="134"/>
      </rPr>
      <t>报告日期：</t>
    </r>
    <r>
      <rPr>
        <sz val="12"/>
        <rFont val="Times New Roman"/>
        <family val="1"/>
      </rPr>
      <t>2018-4-25</t>
    </r>
    <phoneticPr fontId="6" type="noConversion"/>
  </si>
  <si>
    <r>
      <t>报告编号：</t>
    </r>
    <r>
      <rPr>
        <sz val="12"/>
        <rFont val="Times New Roman"/>
        <family val="1"/>
      </rPr>
      <t>GZZC/H-258-2018</t>
    </r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</si>
</sst>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26">
    <font>
      <sz val="12"/>
      <name val="宋体"/>
      <charset val="134"/>
    </font>
    <font>
      <b/>
      <sz val="22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2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2"/>
      <name val="Times New Roman"/>
      <family val="1"/>
    </font>
    <font>
      <b/>
      <sz val="12"/>
      <color indexed="60"/>
      <name val="宋体"/>
      <family val="3"/>
      <charset val="134"/>
    </font>
    <font>
      <sz val="12"/>
      <color indexed="60"/>
      <name val="宋体"/>
      <family val="3"/>
      <charset val="134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b/>
      <sz val="9"/>
      <name val="宋体"/>
      <family val="3"/>
      <charset val="134"/>
    </font>
    <font>
      <b/>
      <vertAlign val="subscript"/>
      <sz val="10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2" borderId="0" xfId="0" applyFill="1"/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2" borderId="0" xfId="0" applyFont="1" applyFill="1"/>
    <xf numFmtId="0" fontId="14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2" fontId="16" fillId="4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11" fillId="2" borderId="3" xfId="0" applyFont="1" applyFill="1" applyBorder="1" applyAlignment="1">
      <alignment horizontal="left"/>
    </xf>
    <xf numFmtId="0" fontId="16" fillId="4" borderId="3" xfId="0" applyFont="1" applyFill="1" applyBorder="1" applyAlignment="1">
      <alignment horizontal="center"/>
    </xf>
    <xf numFmtId="0" fontId="17" fillId="0" borderId="3" xfId="0" applyFont="1" applyFill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D10" sqref="D10"/>
    </sheetView>
  </sheetViews>
  <sheetFormatPr defaultColWidth="9" defaultRowHeight="15.6"/>
  <cols>
    <col min="1" max="1" width="15.8984375" style="26" customWidth="1"/>
    <col min="2" max="3" width="15" style="26" customWidth="1"/>
    <col min="4" max="4" width="16.59765625" style="26" customWidth="1"/>
    <col min="5" max="5" width="10.59765625" style="26" customWidth="1"/>
    <col min="6" max="16384" width="9" style="26"/>
  </cols>
  <sheetData>
    <row r="1" spans="1:5" ht="15.75" customHeight="1">
      <c r="A1" s="43" t="s">
        <v>0</v>
      </c>
      <c r="B1" s="44"/>
      <c r="C1" s="44"/>
      <c r="D1" s="45"/>
    </row>
    <row r="2" spans="1:5" ht="45" customHeight="1">
      <c r="A2" s="27" t="s">
        <v>1</v>
      </c>
      <c r="B2" s="27" t="s">
        <v>2</v>
      </c>
      <c r="C2" s="27" t="s">
        <v>3</v>
      </c>
      <c r="D2" s="28" t="s">
        <v>4</v>
      </c>
    </row>
    <row r="3" spans="1:5" ht="21.75" customHeight="1">
      <c r="A3" s="29">
        <v>5.0999999999999997E-2</v>
      </c>
      <c r="B3" s="29">
        <v>5.9279999999999999E-2</v>
      </c>
      <c r="C3" s="29">
        <v>5.0130000000000001E-2</v>
      </c>
      <c r="D3" s="29">
        <v>5.1700000000000003E-2</v>
      </c>
    </row>
    <row r="4" spans="1:5">
      <c r="A4" s="30"/>
      <c r="B4" s="30"/>
      <c r="C4" s="30"/>
      <c r="D4" s="30"/>
    </row>
    <row r="5" spans="1:5" ht="16.2">
      <c r="A5" s="31" t="s">
        <v>5</v>
      </c>
      <c r="B5" s="31" t="s">
        <v>6</v>
      </c>
      <c r="C5" s="32" t="s">
        <v>7</v>
      </c>
      <c r="D5" s="31" t="s">
        <v>8</v>
      </c>
      <c r="E5" s="31" t="s">
        <v>9</v>
      </c>
    </row>
    <row r="6" spans="1:5" ht="21" customHeight="1">
      <c r="A6" s="33" t="s">
        <v>10</v>
      </c>
      <c r="B6" s="34" t="s">
        <v>11</v>
      </c>
      <c r="C6" s="35">
        <v>25</v>
      </c>
      <c r="D6" s="36">
        <v>0.72</v>
      </c>
      <c r="E6" s="37"/>
    </row>
    <row r="7" spans="1:5" ht="21" customHeight="1">
      <c r="A7" s="38" t="s">
        <v>12</v>
      </c>
      <c r="B7" s="34" t="s">
        <v>13</v>
      </c>
      <c r="C7" s="35">
        <v>25</v>
      </c>
      <c r="D7" s="36">
        <v>0.21</v>
      </c>
      <c r="E7" s="37"/>
    </row>
    <row r="8" spans="1:5" ht="21" customHeight="1">
      <c r="A8" s="38" t="s">
        <v>14</v>
      </c>
      <c r="B8" s="34" t="s">
        <v>15</v>
      </c>
      <c r="C8" s="35">
        <v>25</v>
      </c>
      <c r="D8" s="36">
        <v>0.46</v>
      </c>
      <c r="E8" s="37"/>
    </row>
    <row r="9" spans="1:5" ht="21" customHeight="1">
      <c r="A9" s="38" t="s">
        <v>16</v>
      </c>
      <c r="B9" s="34" t="s">
        <v>15</v>
      </c>
      <c r="C9" s="35">
        <v>25</v>
      </c>
      <c r="D9" s="36">
        <v>0.32</v>
      </c>
      <c r="E9" s="37"/>
    </row>
    <row r="10" spans="1:5" ht="21" customHeight="1">
      <c r="A10" s="38" t="s">
        <v>17</v>
      </c>
      <c r="B10" s="34" t="s">
        <v>15</v>
      </c>
      <c r="C10" s="35">
        <v>25</v>
      </c>
      <c r="D10" s="36">
        <v>2.78</v>
      </c>
      <c r="E10" s="39">
        <v>2.58</v>
      </c>
    </row>
    <row r="11" spans="1:5" ht="21" customHeight="1">
      <c r="A11" s="38" t="s">
        <v>18</v>
      </c>
      <c r="B11" s="34" t="s">
        <v>19</v>
      </c>
      <c r="C11" s="35">
        <v>25</v>
      </c>
      <c r="D11" s="36">
        <v>0.37</v>
      </c>
      <c r="E11" s="40"/>
    </row>
    <row r="12" spans="1:5" ht="21" customHeight="1">
      <c r="A12" s="38" t="s">
        <v>20</v>
      </c>
      <c r="B12" s="34" t="s">
        <v>11</v>
      </c>
      <c r="C12" s="35">
        <v>25</v>
      </c>
      <c r="D12" s="36">
        <v>0.93</v>
      </c>
      <c r="E12" s="40"/>
    </row>
    <row r="13" spans="1:5" ht="20.25" customHeight="1">
      <c r="A13" s="33" t="s">
        <v>21</v>
      </c>
      <c r="B13" s="46">
        <v>6.65</v>
      </c>
      <c r="C13" s="47"/>
      <c r="D13" s="47"/>
      <c r="E13" s="48"/>
    </row>
  </sheetData>
  <mergeCells count="2">
    <mergeCell ref="A1:D1"/>
    <mergeCell ref="B13:E13"/>
  </mergeCells>
  <phoneticPr fontId="6" type="noConversion"/>
  <pageMargins left="0.75" right="0.75" top="1" bottom="1" header="0.5" footer="0.5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activeCell="M25" sqref="M25"/>
    </sheetView>
  </sheetViews>
  <sheetFormatPr defaultColWidth="9" defaultRowHeight="15.6"/>
  <cols>
    <col min="2" max="2" width="20.69921875" customWidth="1"/>
    <col min="3" max="3" width="13" customWidth="1"/>
    <col min="4" max="5" width="12.59765625" customWidth="1"/>
    <col min="6" max="6" width="11.19921875" customWidth="1"/>
    <col min="7" max="7" width="3.296875" customWidth="1"/>
  </cols>
  <sheetData>
    <row r="1" spans="1:8" ht="46.2" customHeight="1">
      <c r="A1" s="61" t="s">
        <v>22</v>
      </c>
      <c r="B1" s="61"/>
      <c r="C1" s="61"/>
      <c r="D1" s="61"/>
      <c r="E1" s="61"/>
      <c r="F1" s="61"/>
    </row>
    <row r="2" spans="1:8" ht="21.6" customHeight="1">
      <c r="A2" s="62" t="s">
        <v>23</v>
      </c>
      <c r="B2" s="62"/>
      <c r="C2" s="62"/>
      <c r="D2" s="62"/>
      <c r="E2" s="62"/>
      <c r="F2" s="62"/>
      <c r="G2" s="2"/>
      <c r="H2" s="2"/>
    </row>
    <row r="3" spans="1:8" s="1" customFormat="1" ht="21" customHeight="1">
      <c r="A3" s="41" t="s">
        <v>76</v>
      </c>
      <c r="B3" s="3"/>
      <c r="C3" s="3"/>
      <c r="D3" s="3"/>
      <c r="E3" s="3"/>
      <c r="F3" s="3"/>
    </row>
    <row r="4" spans="1:8" s="1" customFormat="1" ht="21" customHeight="1">
      <c r="A4" s="3" t="s">
        <v>24</v>
      </c>
      <c r="C4" s="3"/>
      <c r="D4" s="3"/>
      <c r="E4" s="3"/>
      <c r="F4" s="3"/>
    </row>
    <row r="5" spans="1:8" s="1" customFormat="1" ht="21" customHeight="1">
      <c r="A5" s="42" t="s">
        <v>77</v>
      </c>
      <c r="C5" s="3"/>
      <c r="E5" s="4"/>
      <c r="F5" s="7" t="s">
        <v>79</v>
      </c>
    </row>
    <row r="6" spans="1:8" s="1" customFormat="1" ht="21" customHeight="1">
      <c r="A6" s="5" t="s">
        <v>78</v>
      </c>
      <c r="C6" s="6"/>
      <c r="E6" s="4"/>
      <c r="F6" s="7" t="s">
        <v>80</v>
      </c>
    </row>
    <row r="7" spans="1:8" s="1" customFormat="1" ht="21" customHeight="1">
      <c r="A7" s="3" t="s">
        <v>25</v>
      </c>
      <c r="C7" s="8"/>
      <c r="E7" s="9"/>
      <c r="F7" s="10" t="s">
        <v>81</v>
      </c>
    </row>
    <row r="8" spans="1:8" s="1" customFormat="1" ht="15" customHeight="1">
      <c r="A8" s="11" t="s">
        <v>26</v>
      </c>
      <c r="C8" s="8"/>
      <c r="F8" s="9"/>
    </row>
    <row r="9" spans="1:8" s="1" customFormat="1" ht="33.6" customHeight="1">
      <c r="A9" s="63" t="s">
        <v>5</v>
      </c>
      <c r="B9" s="64"/>
      <c r="C9" s="12" t="s">
        <v>27</v>
      </c>
      <c r="D9" s="12" t="s">
        <v>28</v>
      </c>
      <c r="E9" s="12" t="s">
        <v>27</v>
      </c>
      <c r="F9" s="12" t="s">
        <v>29</v>
      </c>
    </row>
    <row r="10" spans="1:8" s="1" customFormat="1" ht="22.8" customHeight="1">
      <c r="A10" s="55" t="s">
        <v>30</v>
      </c>
      <c r="B10" s="12" t="s">
        <v>31</v>
      </c>
      <c r="C10" s="13" t="s">
        <v>32</v>
      </c>
      <c r="D10" s="14">
        <f>F10*23</f>
        <v>32.938549822368437</v>
      </c>
      <c r="E10" s="15" t="s">
        <v>32</v>
      </c>
      <c r="F10" s="16">
        <f>F19-F11-F12</f>
        <v>1.4321108618421059</v>
      </c>
    </row>
    <row r="11" spans="1:8" s="1" customFormat="1" ht="22.8" customHeight="1">
      <c r="A11" s="56"/>
      <c r="B11" s="17" t="s">
        <v>33</v>
      </c>
      <c r="C11" s="13" t="s">
        <v>34</v>
      </c>
      <c r="D11" s="14">
        <f>水分析数据输入!C3*水分析数据输入!D9*40.08*1000/水分析数据输入!C9</f>
        <v>25.717893119999999</v>
      </c>
      <c r="E11" s="15" t="s">
        <v>35</v>
      </c>
      <c r="F11" s="16">
        <f>D11/20.04</f>
        <v>1.283328</v>
      </c>
    </row>
    <row r="12" spans="1:8" s="1" customFormat="1" ht="22.8" customHeight="1">
      <c r="A12" s="56"/>
      <c r="B12" s="17" t="s">
        <v>36</v>
      </c>
      <c r="C12" s="13" t="s">
        <v>37</v>
      </c>
      <c r="D12" s="14">
        <f>(水分析数据输入!D8-水分析数据输入!D9)*水分析数据输入!C3*24.31*1000/水分析数据输入!C9</f>
        <v>6.8244976800000003</v>
      </c>
      <c r="E12" s="15" t="s">
        <v>38</v>
      </c>
      <c r="F12" s="16">
        <f>D12/12.16</f>
        <v>0.56122513815789477</v>
      </c>
    </row>
    <row r="13" spans="1:8" s="1" customFormat="1" ht="22.8" customHeight="1">
      <c r="A13" s="57"/>
      <c r="B13" s="17" t="s">
        <v>39</v>
      </c>
      <c r="C13" s="13"/>
      <c r="D13" s="14">
        <f>SUM(D10:D12)</f>
        <v>65.480940622368436</v>
      </c>
      <c r="E13" s="15"/>
      <c r="F13" s="16">
        <f>SUM(F10:F12)</f>
        <v>3.2766640000000007</v>
      </c>
    </row>
    <row r="14" spans="1:8" s="1" customFormat="1" ht="22.8" customHeight="1">
      <c r="A14" s="58" t="s">
        <v>40</v>
      </c>
      <c r="B14" s="17" t="s">
        <v>41</v>
      </c>
      <c r="C14" s="13" t="s">
        <v>42</v>
      </c>
      <c r="D14" s="14">
        <f>水分析数据输入!D3*水分析数据输入!D11*35.45/水分析数据输入!C11*1000</f>
        <v>27.124922000000002</v>
      </c>
      <c r="E14" s="15" t="s">
        <v>42</v>
      </c>
      <c r="F14" s="16">
        <f>D14/35.45</f>
        <v>0.76515999999999995</v>
      </c>
    </row>
    <row r="15" spans="1:8" s="1" customFormat="1" ht="22.8" customHeight="1">
      <c r="A15" s="59"/>
      <c r="B15" s="17" t="s">
        <v>43</v>
      </c>
      <c r="C15" s="13" t="s">
        <v>44</v>
      </c>
      <c r="D15" s="14">
        <f>(水分析数据输入!E10+水分析数据输入!D8-水分析数据输入!D10)*水分析数据输入!C3*96.06*1000/水分析数据输入!C10</f>
        <v>50.081073120000049</v>
      </c>
      <c r="E15" s="15" t="s">
        <v>45</v>
      </c>
      <c r="F15" s="16">
        <f>D15/48.03</f>
        <v>1.042704000000001</v>
      </c>
    </row>
    <row r="16" spans="1:8" s="1" customFormat="1" ht="22.8" customHeight="1">
      <c r="A16" s="59"/>
      <c r="B16" s="17" t="s">
        <v>46</v>
      </c>
      <c r="C16" s="13" t="s">
        <v>75</v>
      </c>
      <c r="D16" s="14">
        <f>水分析数据输入!A3*水分析数据输入!D6*61.02*1000/水分析数据输入!C6</f>
        <v>89.626176000000001</v>
      </c>
      <c r="E16" s="15" t="s">
        <v>47</v>
      </c>
      <c r="F16" s="16">
        <f>D16/61.02</f>
        <v>1.4687999999999999</v>
      </c>
    </row>
    <row r="17" spans="1:6" s="1" customFormat="1" ht="22.8" customHeight="1">
      <c r="A17" s="59"/>
      <c r="B17" s="17" t="s">
        <v>48</v>
      </c>
      <c r="C17" s="13" t="s">
        <v>49</v>
      </c>
      <c r="D17" s="14">
        <v>0</v>
      </c>
      <c r="E17" s="15" t="s">
        <v>50</v>
      </c>
      <c r="F17" s="16">
        <f>D17/30.01</f>
        <v>0</v>
      </c>
    </row>
    <row r="18" spans="1:6" s="1" customFormat="1" ht="22.8" customHeight="1">
      <c r="A18" s="59"/>
      <c r="B18" s="17" t="s">
        <v>51</v>
      </c>
      <c r="C18" s="13" t="s">
        <v>52</v>
      </c>
      <c r="D18" s="14">
        <v>0</v>
      </c>
      <c r="E18" s="15" t="s">
        <v>52</v>
      </c>
      <c r="F18" s="16">
        <f>D18/17.01</f>
        <v>0</v>
      </c>
    </row>
    <row r="19" spans="1:6" s="1" customFormat="1" ht="22.8" customHeight="1">
      <c r="A19" s="60"/>
      <c r="B19" s="17" t="s">
        <v>53</v>
      </c>
      <c r="C19" s="13"/>
      <c r="D19" s="14">
        <f>SUM(D14:D18)</f>
        <v>166.83217112000005</v>
      </c>
      <c r="E19" s="18"/>
      <c r="F19" s="16">
        <f>SUM(F14:F18)</f>
        <v>3.2766640000000007</v>
      </c>
    </row>
    <row r="20" spans="1:6" s="1" customFormat="1" ht="22.8" customHeight="1">
      <c r="A20" s="65" t="s">
        <v>12</v>
      </c>
      <c r="B20" s="66"/>
      <c r="C20" s="13" t="s">
        <v>54</v>
      </c>
      <c r="D20" s="14">
        <f>水分析数据输入!D7*水分析数据输入!B3*44*1000/水分析数据输入!C7</f>
        <v>21.909888000000002</v>
      </c>
      <c r="E20" s="20"/>
      <c r="F20" s="13"/>
    </row>
    <row r="21" spans="1:6" s="1" customFormat="1" ht="22.8" customHeight="1">
      <c r="A21" s="65" t="s">
        <v>20</v>
      </c>
      <c r="B21" s="66"/>
      <c r="C21" s="13" t="s">
        <v>55</v>
      </c>
      <c r="D21" s="14">
        <f>(水分析数据输入!D12-水分析数据输入!D6)*水分析数据输入!A3*22*1000/水分析数据输入!C12</f>
        <v>9.424800000000003</v>
      </c>
      <c r="E21" s="20"/>
      <c r="F21" s="13"/>
    </row>
    <row r="22" spans="1:6" s="1" customFormat="1" ht="22.8" customHeight="1">
      <c r="A22" s="49" t="s">
        <v>56</v>
      </c>
      <c r="B22" s="17" t="s">
        <v>57</v>
      </c>
      <c r="C22" s="13" t="s">
        <v>58</v>
      </c>
      <c r="D22" s="14">
        <f>水分析数据输入!D7*水分析数据输入!B3*50.04*1000/水分析数据输入!C7</f>
        <v>24.917518080000001</v>
      </c>
      <c r="E22" s="20"/>
      <c r="F22" s="13"/>
    </row>
    <row r="23" spans="1:6" s="1" customFormat="1" ht="22.8" customHeight="1">
      <c r="A23" s="49"/>
      <c r="B23" s="19" t="s">
        <v>59</v>
      </c>
      <c r="C23" s="13" t="s">
        <v>58</v>
      </c>
      <c r="D23" s="14">
        <f>F16*100/2</f>
        <v>73.44</v>
      </c>
      <c r="E23" s="20"/>
      <c r="F23" s="13"/>
    </row>
    <row r="24" spans="1:6" s="1" customFormat="1" ht="22.8" customHeight="1">
      <c r="A24" s="49" t="s">
        <v>60</v>
      </c>
      <c r="B24" s="17" t="s">
        <v>14</v>
      </c>
      <c r="C24" s="13" t="s">
        <v>58</v>
      </c>
      <c r="D24" s="14">
        <f>水分析数据输入!D8*水分析数据输入!C3*100.08*1000/水分析数据输入!C8</f>
        <v>92.312991359999998</v>
      </c>
      <c r="E24" s="20"/>
      <c r="F24" s="13"/>
    </row>
    <row r="25" spans="1:6" s="1" customFormat="1" ht="22.8" customHeight="1">
      <c r="A25" s="49"/>
      <c r="B25" s="17" t="s">
        <v>61</v>
      </c>
      <c r="C25" s="13" t="s">
        <v>58</v>
      </c>
      <c r="D25" s="14">
        <f>IF(D24&gt;D23,D24-D23,0)</f>
        <v>18.87299136</v>
      </c>
      <c r="E25" s="20"/>
      <c r="F25" s="13"/>
    </row>
    <row r="26" spans="1:6" s="1" customFormat="1" ht="22.8" customHeight="1">
      <c r="A26" s="49"/>
      <c r="B26" s="17" t="s">
        <v>62</v>
      </c>
      <c r="C26" s="13" t="s">
        <v>58</v>
      </c>
      <c r="D26" s="14">
        <f>IF(D24&gt;D23,D23,D24)</f>
        <v>73.44</v>
      </c>
      <c r="E26" s="20"/>
      <c r="F26" s="13"/>
    </row>
    <row r="27" spans="1:6" s="1" customFormat="1" ht="22.8" customHeight="1">
      <c r="A27" s="49"/>
      <c r="B27" s="17" t="s">
        <v>63</v>
      </c>
      <c r="C27" s="13" t="s">
        <v>58</v>
      </c>
      <c r="D27" s="14">
        <f>IF(D24&gt;D23,0,D23-D24)</f>
        <v>0</v>
      </c>
      <c r="E27" s="20"/>
      <c r="F27" s="13"/>
    </row>
    <row r="28" spans="1:6" s="1" customFormat="1" ht="22.8" customHeight="1">
      <c r="A28" s="49" t="s">
        <v>64</v>
      </c>
      <c r="B28" s="49"/>
      <c r="C28" s="13"/>
      <c r="D28" s="14">
        <f>D19+D13-D16/2</f>
        <v>187.50002374236851</v>
      </c>
      <c r="E28" s="20"/>
      <c r="F28" s="13"/>
    </row>
    <row r="29" spans="1:6" s="1" customFormat="1" ht="22.8" customHeight="1">
      <c r="A29" s="50" t="s">
        <v>65</v>
      </c>
      <c r="B29" s="50"/>
      <c r="C29" s="51">
        <f>水分析数据输入!B13</f>
        <v>6.65</v>
      </c>
      <c r="D29" s="52"/>
      <c r="E29" s="52"/>
      <c r="F29" s="53"/>
    </row>
    <row r="30" spans="1:6" s="1" customFormat="1" ht="21" customHeight="1">
      <c r="A30" s="21" t="s">
        <v>66</v>
      </c>
      <c r="C30" s="21" t="s">
        <v>67</v>
      </c>
      <c r="F30" s="21"/>
    </row>
    <row r="31" spans="1:6" s="1" customFormat="1" ht="24.6" customHeight="1">
      <c r="A31" s="22" t="s">
        <v>68</v>
      </c>
      <c r="C31" s="21"/>
      <c r="F31" s="21"/>
    </row>
    <row r="32" spans="1:6" s="1" customFormat="1" ht="18.600000000000001" customHeight="1">
      <c r="A32" s="23" t="s">
        <v>69</v>
      </c>
      <c r="C32" s="23"/>
      <c r="D32" s="23"/>
      <c r="E32" s="24"/>
      <c r="F32" s="23"/>
    </row>
    <row r="33" spans="1:6" s="1" customFormat="1" ht="18.600000000000001" customHeight="1">
      <c r="A33" s="24" t="s">
        <v>70</v>
      </c>
      <c r="C33" s="23"/>
      <c r="D33" s="23"/>
      <c r="E33" s="23"/>
      <c r="F33" s="23"/>
    </row>
    <row r="34" spans="1:6" s="1" customFormat="1" ht="18.600000000000001" customHeight="1">
      <c r="A34" s="24" t="s">
        <v>71</v>
      </c>
      <c r="C34" s="23"/>
      <c r="D34" s="23"/>
      <c r="E34" s="23"/>
      <c r="F34" s="23"/>
    </row>
    <row r="35" spans="1:6" s="1" customFormat="1" ht="19.2" customHeight="1"/>
    <row r="36" spans="1:6" s="1" customFormat="1">
      <c r="A36" s="1" t="s">
        <v>72</v>
      </c>
      <c r="B36" s="7"/>
      <c r="C36" s="25" t="s">
        <v>73</v>
      </c>
      <c r="E36" s="54" t="s">
        <v>74</v>
      </c>
      <c r="F36" s="54"/>
    </row>
    <row r="37" spans="1:6" s="1" customFormat="1"/>
    <row r="38" spans="1:6" s="1" customFormat="1"/>
  </sheetData>
  <mergeCells count="13">
    <mergeCell ref="A1:F1"/>
    <mergeCell ref="A2:F2"/>
    <mergeCell ref="A9:B9"/>
    <mergeCell ref="A20:B20"/>
    <mergeCell ref="A21:B21"/>
    <mergeCell ref="A28:B28"/>
    <mergeCell ref="A29:B29"/>
    <mergeCell ref="C29:F29"/>
    <mergeCell ref="E36:F36"/>
    <mergeCell ref="A10:A13"/>
    <mergeCell ref="A14:A19"/>
    <mergeCell ref="A22:A23"/>
    <mergeCell ref="A24:A27"/>
  </mergeCells>
  <phoneticPr fontId="6" type="noConversion"/>
  <printOptions horizontalCentered="1"/>
  <pageMargins left="1.4298611111111099" right="0.156944444444444" top="0.86597222222222203" bottom="0.66874999999999996" header="0.51180555555555596" footer="0.51180555555555596"/>
  <pageSetup paperSize="9" scale="93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水分析数据输入</vt:lpstr>
      <vt:lpstr>水分析报告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2017-04-19T02:57:00Z</cp:lastPrinted>
  <dcterms:created xsi:type="dcterms:W3CDTF">1996-12-17T01:32:00Z</dcterms:created>
  <dcterms:modified xsi:type="dcterms:W3CDTF">2018-04-28T01:44:40Z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2052-10.1.0.6441</vt:lpwstr>
  </property>
</Properties>
</file>