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925" tabRatio="808" activeTab="1"/>
  </bookViews>
  <sheets>
    <sheet name="汇总表" sheetId="14" r:id="rId1"/>
    <sheet name="招标清单2024.10.17" sheetId="13" r:id="rId2"/>
  </sheets>
  <externalReferences>
    <externalReference r:id="rId3"/>
  </externalReferences>
  <definedNames>
    <definedName name="_xlnm.Print_Titles" localSheetId="1">招标清单2024.10.17!$1:$3</definedName>
    <definedName name="_xlnm.Print_Area" localSheetId="1">招标清单2024.10.17!$A$1:$AD$52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<sst xmlns="http://schemas.openxmlformats.org/spreadsheetml/2006/main" count="176" uniqueCount="118">
  <si>
    <t>南京现代表面处理科技产业中心项目一期A地块建设项目-防水防腐工程汇总表</t>
  </si>
  <si>
    <t>序号</t>
  </si>
  <si>
    <t>名称</t>
  </si>
  <si>
    <t>建筑面积
（m2）</t>
  </si>
  <si>
    <t>1#厂房不含税合价
（元）</t>
  </si>
  <si>
    <t>2#厂房不含税合价
（元）</t>
  </si>
  <si>
    <t>3#厂房不含税合价
（元）</t>
  </si>
  <si>
    <t>4#厂房不含税合价
（元）</t>
  </si>
  <si>
    <t>5#厂房不含税合价
（元）</t>
  </si>
  <si>
    <t>8#厂房不含税合价
（元）</t>
  </si>
  <si>
    <t>暂存仓库1不含税合价
（元）</t>
  </si>
  <si>
    <t>初期雨水收集池不含税合价
（元）</t>
  </si>
  <si>
    <t>地下废水管廊不含税合价
（元）</t>
  </si>
  <si>
    <t>6#厂房不含税合价
（元）</t>
  </si>
  <si>
    <t>7#厂房不含税合价
（元）</t>
  </si>
  <si>
    <t>9#厂房不含税合价
（元）</t>
  </si>
  <si>
    <t>10#厂房不含税合价
（元）</t>
  </si>
  <si>
    <t>11#厂房不含税合价
（元）</t>
  </si>
  <si>
    <t>门卫室一不含税合价
（元）</t>
  </si>
  <si>
    <t>门卫室二不含税合价
（元）</t>
  </si>
  <si>
    <t>门卫室三不含税合价
（元）</t>
  </si>
  <si>
    <t>12#厂房不含税合价
（元）</t>
  </si>
  <si>
    <t>本工程不含税合价
（元）</t>
  </si>
  <si>
    <t>本工程不含税单方造价
（元/m2）</t>
  </si>
  <si>
    <t>备注</t>
  </si>
  <si>
    <t>防水防腐工程</t>
  </si>
  <si>
    <t>一</t>
  </si>
  <si>
    <t>不含税工程合价（1+2+...5）</t>
  </si>
  <si>
    <t>二</t>
  </si>
  <si>
    <r>
      <rPr>
        <b/>
        <sz val="11"/>
        <rFont val="??"/>
        <charset val="134"/>
        <scheme val="minor"/>
      </rPr>
      <t>税金(含税</t>
    </r>
    <r>
      <rPr>
        <b/>
        <u/>
        <sz val="11"/>
        <rFont val="??"/>
        <charset val="134"/>
        <scheme val="minor"/>
      </rPr>
      <t xml:space="preserve">      %</t>
    </r>
    <r>
      <rPr>
        <b/>
        <sz val="11"/>
        <rFont val="??"/>
        <charset val="134"/>
        <scheme val="minor"/>
      </rPr>
      <t>)</t>
    </r>
  </si>
  <si>
    <t>税率按国家政策执行，造价随之调整</t>
  </si>
  <si>
    <t>三</t>
  </si>
  <si>
    <t>含税合计（一+二）</t>
  </si>
  <si>
    <t>防水工程招标清单2024.10.20</t>
  </si>
  <si>
    <t>工程名称：南京现代表面处理科技产业中心项目一期A地块建设项目</t>
  </si>
  <si>
    <t>项目特征描述</t>
  </si>
  <si>
    <t>工程量计算规则</t>
  </si>
  <si>
    <t>计量
单位</t>
  </si>
  <si>
    <t>暂定工程量
A</t>
  </si>
  <si>
    <t>1号厂房</t>
  </si>
  <si>
    <t>2号厂房</t>
  </si>
  <si>
    <t>3号厂房</t>
  </si>
  <si>
    <t>4号厂房</t>
  </si>
  <si>
    <t>5号厂房</t>
  </si>
  <si>
    <t>8号厂房</t>
  </si>
  <si>
    <t>暂存仓库1</t>
  </si>
  <si>
    <t>初期雨水收集池</t>
  </si>
  <si>
    <t>地下废水管廊</t>
  </si>
  <si>
    <t>6号厂房</t>
  </si>
  <si>
    <t>7号厂房</t>
  </si>
  <si>
    <t>9号厂房</t>
  </si>
  <si>
    <t>10号厂房</t>
  </si>
  <si>
    <t>11号厂房</t>
  </si>
  <si>
    <t>门卫室一</t>
  </si>
  <si>
    <t>门卫室二</t>
  </si>
  <si>
    <t>门卫室三</t>
  </si>
  <si>
    <t>12号厂房</t>
  </si>
  <si>
    <t>人工费B
（元）</t>
  </si>
  <si>
    <t>主材费C
（元）</t>
  </si>
  <si>
    <t>除主材、人工费、税金以外的其他费用D
（元）</t>
  </si>
  <si>
    <t>不含税
综合单价E=B+C+D
（元）</t>
  </si>
  <si>
    <t>不含税
综合合价F=A*E
（元）</t>
  </si>
  <si>
    <t>基础防水工程</t>
  </si>
  <si>
    <t>4厚沥青聚酯胎预铺反粘防水卷材</t>
  </si>
  <si>
    <t>1.卷材品种、规格、厚度：4厚沥青聚酯胎预铺反粘防水卷林,搭接边采用热熔施工,接缝剥高强度&gt;25N/mm</t>
  </si>
  <si>
    <t>工程量计算规则执行《2014江苏省建筑与装饰工程计价定额》</t>
  </si>
  <si>
    <t>m2</t>
  </si>
  <si>
    <t>3厚SBS改性沥青聚酯胎防水卷材</t>
  </si>
  <si>
    <t>1.卷材品种、规格、厚度：3厚SBS改性沥青聚酯胎防水卷材
2.刷基层处理剂一遍</t>
  </si>
  <si>
    <t>元</t>
  </si>
  <si>
    <r>
      <rPr>
        <b/>
        <sz val="11"/>
        <color rgb="FFFF0000"/>
        <rFont val="宋体"/>
        <charset val="134"/>
      </rPr>
      <t>地面及楼面防水</t>
    </r>
    <r>
      <rPr>
        <b/>
        <sz val="11"/>
        <rFont val="宋体"/>
        <charset val="134"/>
      </rPr>
      <t>工程</t>
    </r>
  </si>
  <si>
    <t>1.5厚聚合物水泥基防水涂料（Ⅱ型）</t>
  </si>
  <si>
    <t>1.涂膜厚度、遍数：1.5厚聚合物水泥基防水涂料（Ⅱ型）
2.刷基层处理剂一遍</t>
  </si>
  <si>
    <t>基础层</t>
  </si>
  <si>
    <t>1层</t>
  </si>
  <si>
    <t>2层</t>
  </si>
  <si>
    <t>3层</t>
  </si>
  <si>
    <t>4层</t>
  </si>
  <si>
    <t>5层</t>
  </si>
  <si>
    <t>屋面层</t>
  </si>
  <si>
    <t>1.5厚单组分聚氨酯防水涂料</t>
  </si>
  <si>
    <t>1.部位:生产水池
2.涂膜厚度、遍数:1.5厚单组分聚氨酯防水涂料（面撒细沙）
3.刷聚合物水泥防水素浆</t>
  </si>
  <si>
    <t>2厚聚合物水泥防水涂料（Ⅱ型）</t>
  </si>
  <si>
    <t>1.部位:门卫室
2.涂膜厚度、遍数：2.0厚聚合物水泥(Ⅱ型)防水涂料，四周沿地面墙体上翻300高
2.刷基层处理剂一遍</t>
  </si>
  <si>
    <t>2厚聚氨防水涂料</t>
  </si>
  <si>
    <t>1.部位:门卫室
2.涂膜厚度、遍数：2厚聚氨防水涂料,四周沿楼面完成面墙体上翻300高</t>
  </si>
  <si>
    <t>地面及楼面防水工程</t>
  </si>
  <si>
    <t>墙面防水工程</t>
  </si>
  <si>
    <t>1.5厚聚合物水泥防水涂料Ⅰ型</t>
  </si>
  <si>
    <t>1.部位:涂料外墙
2.涂膜厚度、遍数:1.5厚聚合物水泥防水涂料Ⅰ型（面洒细沙）</t>
  </si>
  <si>
    <t>2.0厚高强水性橡胶沥青防水涂料</t>
  </si>
  <si>
    <t>1.涂膜厚度、遍数:2.0厚高强水性橡胶沥青防水涂料（耐热度：140℃）</t>
  </si>
  <si>
    <t>1.5mm纤维增强型高分子膜基自粘沥青防水卷材</t>
  </si>
  <si>
    <t>1.卷材品种、规格、厚度：1.5mm纤维增强型高分子膜基自粘沥青防水卷材</t>
  </si>
  <si>
    <t>1.部位:门卫室
2.涂膜厚度、遍数：2厚聚合物水泥(Ⅱ型)防水涂料一遍(刷至板底）</t>
  </si>
  <si>
    <t>四</t>
  </si>
  <si>
    <t>屋面防水工程</t>
  </si>
  <si>
    <t>1.5厚JS防水涂料（雨棚）</t>
  </si>
  <si>
    <t>1.部位:雨棚
2.涂膜厚度、遍数:1.5厚JS防水涂料</t>
  </si>
  <si>
    <t>1.5厚自粘式合成高分子防水卷材</t>
  </si>
  <si>
    <t>1.卷材品种、规格、厚度:1.5厚自粘式合成高分子防水卷材，四周翻至女儿墙泛水下
2.密封膏嵌牢、水泥钉或射钉@500、1mm厚铝合金压条固定</t>
  </si>
  <si>
    <t>1.卷材品种、规格、厚度:1.5厚自粘式合成高分子防水卷材，四周翻至女儿墙泛水下</t>
  </si>
  <si>
    <t>2厚非固化橡胶沥青防水涂料</t>
  </si>
  <si>
    <t>1.涂膜厚度、遍数:2厚非固化橡胶沥青防水涂料，四周翻至女儿墙泛水下
2.刷基层处理剂一遍</t>
  </si>
  <si>
    <t>1.涂膜厚度、遍数:2.0mnn厚高强水性橡胶沥青防水涂料(耐热度:140℃)
2.刷基层处理剂一遍</t>
  </si>
  <si>
    <t>4厚SBS改性沥青耐根穿刺防水卷材</t>
  </si>
  <si>
    <t>1.卷材品种、规格、厚度:4厚SBS改性沥青耐根穿刺防水卷材</t>
  </si>
  <si>
    <t>五</t>
  </si>
  <si>
    <t>不含税工程合计（一+二+三+四）</t>
  </si>
  <si>
    <t>六</t>
  </si>
  <si>
    <r>
      <rPr>
        <b/>
        <sz val="12"/>
        <rFont val="宋体"/>
        <charset val="134"/>
      </rPr>
      <t>税金（含税</t>
    </r>
    <r>
      <rPr>
        <b/>
        <u/>
        <sz val="12"/>
        <rFont val="宋体"/>
        <charset val="134"/>
      </rPr>
      <t xml:space="preserve">    %</t>
    </r>
    <r>
      <rPr>
        <b/>
        <sz val="12"/>
        <rFont val="宋体"/>
        <charset val="134"/>
      </rPr>
      <t>）</t>
    </r>
  </si>
  <si>
    <t>七</t>
  </si>
  <si>
    <t>含税工程合计（五+六）</t>
  </si>
  <si>
    <r>
      <t>备注：
1、以上价格为含税价，开具票面</t>
    </r>
    <r>
      <rPr>
        <u/>
        <sz val="12"/>
        <rFont val="宋体"/>
        <charset val="134"/>
      </rPr>
      <t xml:space="preserve">      %</t>
    </r>
    <r>
      <rPr>
        <sz val="12"/>
        <rFont val="宋体"/>
        <charset val="134"/>
      </rPr>
      <t xml:space="preserve">增值税专用发票（税率按国家政策执行，造价随之调整）。
</t>
    </r>
    <r>
      <rPr>
        <b/>
        <sz val="12"/>
        <rFont val="宋体"/>
        <charset val="134"/>
      </rPr>
      <t>2、材料品牌：防水卷材（东方雨虹、卓宝、科顺、西卡、百得），防水涂料（东方雨虹、德高、立邦、科顺），</t>
    </r>
    <r>
      <rPr>
        <b/>
        <sz val="12"/>
        <color rgb="FFFF0000"/>
        <rFont val="宋体"/>
        <charset val="134"/>
      </rPr>
      <t>以上为建议品牌，报价单位可增加同档次品牌材料</t>
    </r>
    <r>
      <rPr>
        <b/>
        <sz val="12"/>
        <rFont val="宋体"/>
        <charset val="134"/>
      </rPr>
      <t>。</t>
    </r>
    <r>
      <rPr>
        <sz val="12"/>
        <rFont val="宋体"/>
        <charset val="134"/>
      </rPr>
      <t xml:space="preserve">
</t>
    </r>
    <r>
      <rPr>
        <b/>
        <sz val="12"/>
        <rFont val="宋体"/>
        <charset val="134"/>
      </rPr>
      <t>3、本工程除水泥材料甲供外，其他均由分包单位包工包料完成。</t>
    </r>
    <r>
      <rPr>
        <sz val="12"/>
        <rFont val="宋体"/>
        <charset val="134"/>
      </rPr>
      <t xml:space="preserve">
</t>
    </r>
    <r>
      <rPr>
        <b/>
        <sz val="12"/>
        <rFont val="宋体"/>
        <charset val="134"/>
      </rPr>
      <t>4、单价包括所有防水施工工序的费用（包括但不限于清理基层、涂刷基层处理剂、铺贴卷材及附加层、涂刷防水层、封口、收头、钉压条等），具体做法详见施工图纸及施工方案要求，其单价包含为完成该分项工程的所有工序工作，不限于所列内容，材料须符合甲方及达到国家使用标准，本工程所有附加层不另计算。
5、其他费用D：包含辅材、机械费、措施费、管理费、利润等除主材、人工费及税金以外的其他所有费用。
6、本工程所有防水附加层均不另计算工程量。
7、本招标清单工程量计算范围：1~12号厂房、暂存仓库1、雨水收集池、门卫室一、二、三、地下废水管廊。</t>
    </r>
    <r>
      <rPr>
        <sz val="12"/>
        <rFont val="宋体"/>
        <charset val="134"/>
      </rPr>
      <t xml:space="preserve">
8、本次招标清单编制依据：①1#、2#、3#、4#、5#、8#厂房根据2024年9月11日1#、2#、3#、4#、5#、8#厂房全套施工图-审图通过版及甲方2024.9.11签字确认的交楼标准；②暂存仓库1、初期雨水收集池、地下废水管廊、6#、7#、9#、10#号厂房、门卫室一、二、三根据未确定版施工图；③11#、12#号厂房未收到施工图，工程量根据南京项目总平面图审图版建筑面积结合有图纸部分工程量指标按面积测算。
9、本清单未注明的承包内容，详见合同相应条款。
10、本清单范围不含室外工程。</t>
    </r>
  </si>
  <si>
    <t>报价单位：</t>
  </si>
  <si>
    <t>报价人：</t>
  </si>
  <si>
    <t>联系电话：</t>
  </si>
  <si>
    <t>报价日期：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</si>
</sst>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_ "/>
  </numFmts>
  <fonts count="43">
    <font>
      <sz val="9"/>
      <color theme="1"/>
      <name val="??"/>
      <charset val="134"/>
      <scheme val="minor"/>
    </font>
    <font>
      <b/>
      <sz val="10"/>
      <name val="宋体"/>
      <charset val="134"/>
    </font>
    <font>
      <b/>
      <sz val="9"/>
      <name val="宋体"/>
      <charset val="134"/>
    </font>
    <font>
      <sz val="9"/>
      <name val="宋体"/>
      <charset val="134"/>
    </font>
    <font>
      <b/>
      <sz val="9"/>
      <name val="??"/>
      <charset val="134"/>
      <scheme val="minor"/>
    </font>
    <font>
      <sz val="9"/>
      <name val="??"/>
      <charset val="134"/>
      <scheme val="minor"/>
    </font>
    <font>
      <b/>
      <sz val="20"/>
      <name val="宋体"/>
      <charset val="134"/>
    </font>
    <font>
      <b/>
      <sz val="11"/>
      <name val="宋体"/>
      <charset val="134"/>
    </font>
    <font>
      <sz val="11"/>
      <name val="宋体"/>
      <charset val="134"/>
    </font>
    <font>
      <b/>
      <sz val="11"/>
      <color rgb="FFFF0000"/>
      <name val="宋体"/>
      <charset val="134"/>
    </font>
    <font>
      <sz val="11"/>
      <color theme="1"/>
      <name val="宋体"/>
      <charset val="134"/>
    </font>
    <font>
      <b/>
      <sz val="12"/>
      <name val="宋体"/>
      <charset val="134"/>
    </font>
    <font>
      <sz val="12"/>
      <name val="宋体"/>
      <charset val="134"/>
    </font>
    <font>
      <sz val="11"/>
      <color rgb="FFFF0000"/>
      <name val="宋体"/>
      <charset val="134"/>
    </font>
    <font>
      <b/>
      <sz val="14"/>
      <name val="??"/>
      <charset val="134"/>
      <scheme val="minor"/>
    </font>
    <font>
      <sz val="11"/>
      <name val="??"/>
      <charset val="134"/>
      <scheme val="minor"/>
    </font>
    <font>
      <sz val="11"/>
      <color rgb="FFFF0000"/>
      <name val="??"/>
      <charset val="134"/>
      <scheme val="minor"/>
    </font>
    <font>
      <b/>
      <sz val="11"/>
      <name val="??"/>
      <charset val="134"/>
      <scheme val="minor"/>
    </font>
    <font>
      <b/>
      <sz val="11"/>
      <color rgb="FFFF0000"/>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
      <b/>
      <u/>
      <sz val="11"/>
      <name val="??"/>
      <charset val="134"/>
      <scheme val="minor"/>
    </font>
    <font>
      <u/>
      <sz val="12"/>
      <name val="宋体"/>
      <charset val="134"/>
    </font>
    <font>
      <b/>
      <sz val="12"/>
      <color rgb="FFFF0000"/>
      <name val="宋体"/>
      <charset val="134"/>
    </font>
    <font>
      <b/>
      <u/>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2" borderId="7"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8" fillId="3" borderId="10" applyNumberFormat="0" applyAlignment="0" applyProtection="0">
      <alignment vertical="center"/>
    </xf>
    <xf numFmtId="0" fontId="29" fillId="4" borderId="11" applyNumberFormat="0" applyAlignment="0" applyProtection="0">
      <alignment vertical="center"/>
    </xf>
    <xf numFmtId="0" fontId="30" fillId="4" borderId="10" applyNumberFormat="0" applyAlignment="0" applyProtection="0">
      <alignment vertical="center"/>
    </xf>
    <xf numFmtId="0" fontId="31" fillId="5" borderId="12" applyNumberFormat="0" applyAlignment="0" applyProtection="0">
      <alignment vertical="center"/>
    </xf>
    <xf numFmtId="0" fontId="32" fillId="0" borderId="13" applyNumberFormat="0" applyFill="0" applyAlignment="0" applyProtection="0">
      <alignment vertical="center"/>
    </xf>
    <xf numFmtId="0" fontId="33" fillId="0" borderId="14"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12" fillId="0" borderId="0"/>
    <xf numFmtId="0" fontId="0" fillId="0" borderId="0"/>
  </cellStyleXfs>
  <cellXfs count="78">
    <xf numFmtId="0" fontId="0" fillId="0" borderId="0" xfId="50"/>
    <xf numFmtId="0" fontId="1" fillId="0" borderId="0" xfId="50" applyFont="1" applyFill="1" applyAlignment="1">
      <alignment vertical="center"/>
    </xf>
    <xf numFmtId="0" fontId="2" fillId="0" borderId="0" xfId="50" applyFont="1" applyFill="1" applyAlignment="1">
      <alignment horizontal="center"/>
    </xf>
    <xf numFmtId="0" fontId="3" fillId="0" borderId="0" xfId="50" applyFont="1" applyFill="1"/>
    <xf numFmtId="0" fontId="2" fillId="0" borderId="0" xfId="50" applyFont="1" applyFill="1"/>
    <xf numFmtId="0" fontId="4" fillId="0" borderId="0" xfId="50" applyFont="1" applyFill="1"/>
    <xf numFmtId="0" fontId="5" fillId="0" borderId="0" xfId="50" applyFont="1" applyFill="1"/>
    <xf numFmtId="0" fontId="2" fillId="0" borderId="0" xfId="50" applyFont="1" applyFill="1" applyAlignment="1">
      <alignment horizontal="center" vertical="center"/>
    </xf>
    <xf numFmtId="0" fontId="4" fillId="0" borderId="0" xfId="50" applyFont="1"/>
    <xf numFmtId="0" fontId="3" fillId="0" borderId="0" xfId="50" applyFont="1" applyFill="1" applyAlignment="1">
      <alignment horizontal="center"/>
    </xf>
    <xf numFmtId="176" fontId="3" fillId="0" borderId="0" xfId="50" applyNumberFormat="1" applyFont="1" applyFill="1" applyAlignment="1">
      <alignment horizontal="center"/>
    </xf>
    <xf numFmtId="177" fontId="3" fillId="0" borderId="0" xfId="50" applyNumberFormat="1" applyFont="1" applyFill="1" applyAlignment="1">
      <alignment horizontal="center"/>
    </xf>
    <xf numFmtId="0" fontId="3" fillId="0" borderId="0" xfId="50" applyFont="1" applyFill="1" applyAlignment="1">
      <alignment horizontal="left"/>
    </xf>
    <xf numFmtId="0" fontId="6" fillId="0" borderId="0" xfId="50" applyFont="1" applyFill="1" applyAlignment="1">
      <alignment horizontal="center" vertical="center" wrapText="1"/>
    </xf>
    <xf numFmtId="176" fontId="6" fillId="0" borderId="0" xfId="50" applyNumberFormat="1" applyFont="1" applyFill="1" applyAlignment="1">
      <alignment horizontal="center" vertical="center" wrapText="1"/>
    </xf>
    <xf numFmtId="0" fontId="7" fillId="0" borderId="0" xfId="50" applyFont="1" applyFill="1" applyAlignment="1">
      <alignment horizontal="left" vertical="center" wrapText="1"/>
    </xf>
    <xf numFmtId="0" fontId="7" fillId="0" borderId="0" xfId="50" applyFont="1" applyFill="1" applyAlignment="1">
      <alignment horizontal="center" vertical="center" wrapText="1"/>
    </xf>
    <xf numFmtId="176" fontId="7" fillId="0" borderId="0" xfId="50" applyNumberFormat="1" applyFont="1" applyFill="1" applyAlignment="1">
      <alignment horizontal="center" vertical="center" wrapText="1"/>
    </xf>
    <xf numFmtId="0" fontId="7" fillId="0" borderId="1" xfId="50" applyFont="1" applyFill="1" applyBorder="1" applyAlignment="1">
      <alignment horizontal="center" vertical="center" wrapText="1"/>
    </xf>
    <xf numFmtId="176" fontId="7" fillId="0" borderId="1" xfId="50" applyNumberFormat="1" applyFont="1" applyFill="1" applyBorder="1" applyAlignment="1">
      <alignment horizontal="center" vertical="center" wrapText="1"/>
    </xf>
    <xf numFmtId="0" fontId="8" fillId="0" borderId="1" xfId="50" applyFont="1" applyFill="1" applyBorder="1" applyAlignment="1">
      <alignment horizontal="center" vertical="center" wrapText="1"/>
    </xf>
    <xf numFmtId="0" fontId="7" fillId="0" borderId="2" xfId="50" applyFont="1" applyFill="1" applyBorder="1" applyAlignment="1">
      <alignment horizontal="center" vertical="center" wrapText="1"/>
    </xf>
    <xf numFmtId="0" fontId="7" fillId="0" borderId="3" xfId="50" applyFont="1" applyFill="1" applyBorder="1" applyAlignment="1">
      <alignment horizontal="center" vertical="center" wrapText="1"/>
    </xf>
    <xf numFmtId="0" fontId="7" fillId="0" borderId="4" xfId="50" applyFont="1" applyFill="1" applyBorder="1" applyAlignment="1">
      <alignment horizontal="center" vertical="center" wrapText="1"/>
    </xf>
    <xf numFmtId="0" fontId="8" fillId="0" borderId="1" xfId="50" applyFont="1" applyFill="1" applyBorder="1" applyAlignment="1">
      <alignment horizontal="left" vertical="center" wrapText="1"/>
    </xf>
    <xf numFmtId="176" fontId="8" fillId="0" borderId="1" xfId="5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2" xfId="50" applyFont="1" applyFill="1" applyBorder="1" applyAlignment="1">
      <alignment horizontal="center" vertical="center" wrapText="1"/>
    </xf>
    <xf numFmtId="0" fontId="8" fillId="0" borderId="5" xfId="50" applyFont="1" applyFill="1" applyBorder="1" applyAlignment="1">
      <alignment horizontal="center" vertical="center" wrapText="1"/>
    </xf>
    <xf numFmtId="176" fontId="0" fillId="0" borderId="1" xfId="0" applyNumberFormat="1" applyBorder="1" applyAlignment="1">
      <alignment horizontal="center" vertical="center"/>
    </xf>
    <xf numFmtId="0" fontId="8" fillId="0" borderId="6" xfId="50" applyFont="1" applyFill="1" applyBorder="1" applyAlignment="1">
      <alignment horizontal="center" vertical="center" wrapText="1"/>
    </xf>
    <xf numFmtId="176" fontId="8" fillId="0" borderId="0" xfId="50" applyNumberFormat="1" applyFont="1" applyFill="1" applyAlignment="1">
      <alignment horizontal="center" vertical="center" wrapText="1"/>
    </xf>
    <xf numFmtId="176" fontId="8" fillId="0" borderId="6" xfId="5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1" xfId="5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 xfId="0" applyFont="1" applyFill="1" applyBorder="1" applyAlignment="1">
      <alignment horizontal="center" vertical="center"/>
    </xf>
    <xf numFmtId="176" fontId="7" fillId="0" borderId="1" xfId="0" applyNumberFormat="1" applyFont="1" applyFill="1" applyBorder="1" applyAlignment="1">
      <alignment horizontal="center" vertical="center"/>
    </xf>
    <xf numFmtId="0" fontId="11" fillId="0" borderId="1" xfId="50" applyFont="1" applyFill="1" applyBorder="1" applyAlignment="1">
      <alignment horizontal="center" vertical="center" wrapText="1"/>
    </xf>
    <xf numFmtId="0" fontId="11" fillId="0" borderId="2" xfId="0" applyFont="1" applyFill="1" applyBorder="1" applyAlignment="1">
      <alignment horizontal="center" vertical="center"/>
    </xf>
    <xf numFmtId="176" fontId="11" fillId="0" borderId="1" xfId="50" applyNumberFormat="1" applyFont="1" applyFill="1" applyBorder="1" applyAlignment="1">
      <alignment horizontal="left" vertical="center"/>
    </xf>
    <xf numFmtId="0" fontId="12" fillId="0" borderId="1" xfId="50" applyFont="1" applyFill="1" applyBorder="1" applyAlignment="1">
      <alignment horizontal="left" vertical="top" wrapText="1"/>
    </xf>
    <xf numFmtId="0" fontId="12" fillId="0" borderId="1" xfId="50" applyFont="1" applyFill="1" applyBorder="1" applyAlignment="1">
      <alignment horizontal="center" vertical="top"/>
    </xf>
    <xf numFmtId="0" fontId="12" fillId="0" borderId="1" xfId="50" applyFont="1" applyFill="1" applyBorder="1" applyAlignment="1">
      <alignment horizontal="left" vertical="top"/>
    </xf>
    <xf numFmtId="176" fontId="12" fillId="0" borderId="1" xfId="50" applyNumberFormat="1" applyFont="1" applyFill="1" applyBorder="1" applyAlignment="1">
      <alignment horizontal="left" vertical="top"/>
    </xf>
    <xf numFmtId="178" fontId="8" fillId="0" borderId="1" xfId="50" applyNumberFormat="1" applyFont="1" applyFill="1" applyBorder="1" applyAlignment="1">
      <alignment horizontal="center" vertical="center" wrapText="1"/>
    </xf>
    <xf numFmtId="0" fontId="11" fillId="0" borderId="1" xfId="50" applyFont="1" applyFill="1" applyBorder="1" applyAlignment="1">
      <alignment horizontal="left" vertical="center"/>
    </xf>
    <xf numFmtId="176" fontId="8" fillId="0" borderId="5" xfId="50" applyNumberFormat="1" applyFont="1" applyFill="1" applyBorder="1" applyAlignment="1">
      <alignment horizontal="center" vertical="center" wrapText="1"/>
    </xf>
    <xf numFmtId="0" fontId="7" fillId="0" borderId="0" xfId="0" applyFont="1" applyFill="1" applyBorder="1" applyAlignment="1">
      <alignment horizontal="left" vertical="center" wrapText="1" shrinkToFit="1"/>
    </xf>
    <xf numFmtId="177" fontId="6" fillId="0" borderId="0" xfId="50" applyNumberFormat="1" applyFont="1" applyFill="1" applyAlignment="1">
      <alignment horizontal="center" vertical="center" wrapText="1"/>
    </xf>
    <xf numFmtId="0" fontId="6" fillId="0" borderId="0" xfId="50" applyFont="1" applyFill="1" applyAlignment="1">
      <alignment horizontal="left" vertical="center" wrapText="1"/>
    </xf>
    <xf numFmtId="177" fontId="7" fillId="0" borderId="0" xfId="50" applyNumberFormat="1" applyFont="1" applyFill="1" applyAlignment="1">
      <alignment horizontal="center" vertical="center" wrapText="1"/>
    </xf>
    <xf numFmtId="177" fontId="7" fillId="0" borderId="1" xfId="50" applyNumberFormat="1" applyFont="1" applyFill="1" applyBorder="1" applyAlignment="1">
      <alignment horizontal="center" vertical="center" wrapText="1"/>
    </xf>
    <xf numFmtId="176" fontId="8" fillId="0" borderId="1" xfId="50" applyNumberFormat="1" applyFont="1" applyFill="1" applyBorder="1" applyAlignment="1">
      <alignment horizontal="center" vertical="center"/>
    </xf>
    <xf numFmtId="177" fontId="8" fillId="0" borderId="1" xfId="50" applyNumberFormat="1" applyFont="1" applyFill="1" applyBorder="1" applyAlignment="1">
      <alignment horizontal="center" vertical="center"/>
    </xf>
    <xf numFmtId="176" fontId="7" fillId="0" borderId="1" xfId="50" applyNumberFormat="1" applyFont="1" applyFill="1" applyBorder="1" applyAlignment="1">
      <alignment horizontal="left" vertical="center" wrapText="1"/>
    </xf>
    <xf numFmtId="0" fontId="7" fillId="0" borderId="1" xfId="50" applyFont="1" applyFill="1" applyBorder="1" applyAlignment="1">
      <alignment horizontal="left" vertical="center" wrapText="1"/>
    </xf>
    <xf numFmtId="0" fontId="13" fillId="0" borderId="1" xfId="50" applyFont="1" applyFill="1" applyBorder="1" applyAlignment="1">
      <alignment vertical="center" wrapText="1"/>
    </xf>
    <xf numFmtId="176" fontId="7" fillId="0" borderId="1" xfId="50" applyNumberFormat="1" applyFont="1" applyFill="1" applyBorder="1" applyAlignment="1">
      <alignment horizontal="center" vertical="center"/>
    </xf>
    <xf numFmtId="177" fontId="7" fillId="0" borderId="1" xfId="50" applyNumberFormat="1" applyFont="1" applyFill="1" applyBorder="1" applyAlignment="1">
      <alignment horizontal="center" vertical="center"/>
    </xf>
    <xf numFmtId="0" fontId="7" fillId="0" borderId="1" xfId="50" applyFont="1" applyFill="1" applyBorder="1" applyAlignment="1">
      <alignment horizontal="center" vertical="center"/>
    </xf>
    <xf numFmtId="177" fontId="12" fillId="0" borderId="1" xfId="50" applyNumberFormat="1" applyFont="1" applyFill="1" applyBorder="1" applyAlignment="1">
      <alignment horizontal="center" vertical="top"/>
    </xf>
    <xf numFmtId="0" fontId="5" fillId="0" borderId="0" xfId="50" applyFont="1" applyAlignment="1">
      <alignment horizontal="center" vertical="center"/>
    </xf>
    <xf numFmtId="0" fontId="4" fillId="0" borderId="0" xfId="50" applyFont="1" applyAlignment="1">
      <alignment horizontal="center" vertical="center"/>
    </xf>
    <xf numFmtId="0" fontId="14" fillId="0" borderId="0" xfId="50" applyFont="1" applyAlignment="1">
      <alignment horizontal="center" vertical="center"/>
    </xf>
    <xf numFmtId="0" fontId="15" fillId="0" borderId="5" xfId="50" applyFont="1" applyBorder="1" applyAlignment="1">
      <alignment horizontal="center" vertical="center"/>
    </xf>
    <xf numFmtId="0" fontId="15" fillId="0" borderId="5" xfId="50" applyFont="1" applyBorder="1" applyAlignment="1">
      <alignment horizontal="center" vertical="center" wrapText="1"/>
    </xf>
    <xf numFmtId="0" fontId="16" fillId="0" borderId="5" xfId="50" applyFont="1" applyBorder="1" applyAlignment="1">
      <alignment horizontal="center" vertical="center" wrapText="1"/>
    </xf>
    <xf numFmtId="0" fontId="17" fillId="0" borderId="1" xfId="50" applyFont="1" applyBorder="1" applyAlignment="1">
      <alignment horizontal="center" vertical="center"/>
    </xf>
    <xf numFmtId="0" fontId="18" fillId="0" borderId="1" xfId="50" applyFont="1" applyBorder="1" applyAlignment="1">
      <alignment horizontal="center" vertical="center"/>
    </xf>
    <xf numFmtId="0" fontId="15" fillId="0" borderId="1" xfId="50" applyFont="1" applyBorder="1" applyAlignment="1">
      <alignment horizontal="center" vertical="center"/>
    </xf>
    <xf numFmtId="0" fontId="16" fillId="0" borderId="1" xfId="50" applyFont="1" applyBorder="1" applyAlignment="1">
      <alignment horizontal="center" vertical="center"/>
    </xf>
    <xf numFmtId="0" fontId="15" fillId="0" borderId="1" xfId="50" applyFont="1" applyBorder="1" applyAlignment="1">
      <alignment horizontal="center" vertical="center" wrapText="1"/>
    </xf>
    <xf numFmtId="0" fontId="18" fillId="0" borderId="1" xfId="50" applyFont="1" applyBorder="1" applyAlignment="1">
      <alignment horizontal="center" vertical="center" wrapText="1"/>
    </xf>
    <xf numFmtId="0" fontId="16" fillId="0" borderId="5" xfId="50" applyFont="1" applyFill="1" applyBorder="1" applyAlignment="1">
      <alignment horizontal="center" vertical="center" wrapText="1"/>
    </xf>
    <xf numFmtId="0" fontId="17" fillId="0" borderId="1" xfId="5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万科城A标门窗清单 2 2" xfId="49"/>
    <cellStyle name="Normal" xfId="50"/>
  </cellStyles>
  <tableStyles count="0" defaultTableStyle="TableStyleMedium2"/>
  <colors>
    <mruColors>
      <color rgb="00FFC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3487;&#28790;&#26757;&#24037;&#31243;&#25991;&#20214;/16.&#21335;&#20140;&#39033;&#30446;/5.&#20998;&#21253;&#25307;&#26631;&#28165;&#21333;/&#24037;&#31243;&#31867;&#25307;&#26631;/10.&#27877;&#27700;&#24037;&#31243;/&#21335;&#20140;&#39033;&#30446;&#27877;&#27700;&#24037;&#31243;&#25307;&#26631;&#28165;&#21333;2024.10.3&#65288;&#25353;2024.9.11&#29256;&#20132;&#27004;&#26631;&#20934;&#20462;&#25913;&#65289;-&#26368;&#3245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表"/>
      <sheetName val="招标清单（按交楼标准）2024.10.3"/>
    </sheetNames>
    <sheetDataSet>
      <sheetData sheetId="0"/>
      <sheetData sheetId="1">
        <row r="40">
          <cell r="B40" t="str">
            <v>屋面工程</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1"/>
  <sheetViews>
    <sheetView workbookViewId="0">
      <selection activeCell="J8" sqref="J8"/>
    </sheetView>
  </sheetViews>
  <sheetFormatPr defaultColWidth="12" defaultRowHeight="27" customHeight="1"/>
  <cols>
    <col min="1" max="1" width="7.57142857142857" style="64" customWidth="1"/>
    <col min="2" max="2" width="23" style="64" customWidth="1"/>
    <col min="3" max="21" width="13.2857142857143" style="64" customWidth="1"/>
    <col min="22" max="22" width="12.4285714285714" style="64" customWidth="1"/>
    <col min="23" max="23" width="16.2857142857143" style="64" customWidth="1"/>
    <col min="24" max="24" width="17.8571428571429" style="64" customWidth="1"/>
    <col min="25" max="16382" width="12" style="64" customWidth="1"/>
    <col min="16383" max="16384" width="12" style="64"/>
  </cols>
  <sheetData>
    <row r="1" s="64" customFormat="1" ht="48" customHeight="1" spans="1:24">
      <c r="A1" s="66" t="s">
        <v>0</v>
      </c>
      <c r="B1" s="66"/>
      <c r="C1" s="66"/>
      <c r="D1" s="66"/>
      <c r="E1" s="66"/>
      <c r="F1" s="66"/>
      <c r="G1" s="66"/>
      <c r="H1" s="66"/>
      <c r="I1" s="66"/>
      <c r="J1" s="66"/>
      <c r="K1" s="66"/>
      <c r="L1" s="66"/>
      <c r="M1" s="66"/>
      <c r="N1" s="66"/>
      <c r="O1" s="66"/>
      <c r="P1" s="66"/>
      <c r="Q1" s="66"/>
      <c r="R1" s="66"/>
      <c r="S1" s="66"/>
      <c r="T1" s="66"/>
      <c r="U1" s="66"/>
      <c r="V1" s="66"/>
      <c r="W1" s="66"/>
      <c r="X1" s="66"/>
    </row>
    <row r="2" s="64" customFormat="1" ht="60" customHeight="1" spans="1:24">
      <c r="A2" s="67" t="s">
        <v>1</v>
      </c>
      <c r="B2" s="67" t="s">
        <v>2</v>
      </c>
      <c r="C2" s="68" t="s">
        <v>3</v>
      </c>
      <c r="D2" s="69" t="s">
        <v>4</v>
      </c>
      <c r="E2" s="69" t="s">
        <v>5</v>
      </c>
      <c r="F2" s="69" t="s">
        <v>6</v>
      </c>
      <c r="G2" s="69" t="s">
        <v>7</v>
      </c>
      <c r="H2" s="69" t="s">
        <v>8</v>
      </c>
      <c r="I2" s="69" t="s">
        <v>9</v>
      </c>
      <c r="J2" s="76" t="s">
        <v>10</v>
      </c>
      <c r="K2" s="76" t="s">
        <v>11</v>
      </c>
      <c r="L2" s="69" t="s">
        <v>12</v>
      </c>
      <c r="M2" s="69" t="s">
        <v>13</v>
      </c>
      <c r="N2" s="69" t="s">
        <v>14</v>
      </c>
      <c r="O2" s="69" t="s">
        <v>15</v>
      </c>
      <c r="P2" s="69" t="s">
        <v>16</v>
      </c>
      <c r="Q2" s="69" t="s">
        <v>17</v>
      </c>
      <c r="R2" s="69" t="s">
        <v>18</v>
      </c>
      <c r="S2" s="69" t="s">
        <v>19</v>
      </c>
      <c r="T2" s="69" t="s">
        <v>20</v>
      </c>
      <c r="U2" s="69" t="s">
        <v>21</v>
      </c>
      <c r="V2" s="74" t="s">
        <v>22</v>
      </c>
      <c r="W2" s="74" t="s">
        <v>23</v>
      </c>
      <c r="X2" s="72" t="s">
        <v>24</v>
      </c>
    </row>
    <row r="3" s="65" customFormat="1" ht="36" customHeight="1" spans="1:24">
      <c r="A3" s="70"/>
      <c r="B3" s="70" t="s">
        <v>25</v>
      </c>
      <c r="C3" s="71"/>
      <c r="D3" s="71"/>
      <c r="E3" s="71"/>
      <c r="F3" s="71"/>
      <c r="G3" s="71"/>
      <c r="H3" s="71"/>
      <c r="I3" s="71"/>
      <c r="J3" s="71"/>
      <c r="K3" s="71"/>
      <c r="L3" s="71"/>
      <c r="M3" s="71"/>
      <c r="N3" s="71"/>
      <c r="O3" s="71"/>
      <c r="P3" s="71"/>
      <c r="Q3" s="71"/>
      <c r="R3" s="71"/>
      <c r="S3" s="71"/>
      <c r="T3" s="71"/>
      <c r="U3" s="71"/>
      <c r="V3" s="70"/>
      <c r="W3" s="70"/>
      <c r="X3" s="70"/>
    </row>
    <row r="4" s="64" customFormat="1" ht="47" customHeight="1" spans="1:24">
      <c r="A4" s="72">
        <v>1</v>
      </c>
      <c r="B4" s="72" t="str">
        <f>+招标清单2024.10.17!B7</f>
        <v>基础防水工程</v>
      </c>
      <c r="C4" s="73">
        <v>151621.81</v>
      </c>
      <c r="D4" s="73"/>
      <c r="E4" s="73"/>
      <c r="F4" s="73"/>
      <c r="G4" s="73"/>
      <c r="H4" s="73"/>
      <c r="I4" s="73"/>
      <c r="J4" s="73"/>
      <c r="K4" s="73"/>
      <c r="L4" s="73"/>
      <c r="M4" s="73"/>
      <c r="N4" s="73"/>
      <c r="O4" s="73"/>
      <c r="P4" s="73"/>
      <c r="Q4" s="73"/>
      <c r="R4" s="73"/>
      <c r="S4" s="73"/>
      <c r="T4" s="73"/>
      <c r="U4" s="73"/>
      <c r="V4" s="72">
        <f>SUM(D4:U4)</f>
        <v>0</v>
      </c>
      <c r="W4" s="72">
        <f>+V4/C4</f>
        <v>0</v>
      </c>
      <c r="X4" s="74"/>
    </row>
    <row r="5" s="64" customFormat="1" ht="47" customHeight="1" spans="1:24">
      <c r="A5" s="72">
        <v>2</v>
      </c>
      <c r="B5" s="72" t="str">
        <f>+招标清单2024.10.17!B20</f>
        <v>地面及楼面防水工程</v>
      </c>
      <c r="C5" s="73">
        <v>151621.81</v>
      </c>
      <c r="D5" s="73"/>
      <c r="E5" s="73"/>
      <c r="F5" s="73"/>
      <c r="G5" s="73"/>
      <c r="H5" s="73"/>
      <c r="I5" s="73"/>
      <c r="J5" s="73"/>
      <c r="K5" s="73"/>
      <c r="L5" s="73"/>
      <c r="M5" s="73"/>
      <c r="N5" s="73"/>
      <c r="O5" s="73"/>
      <c r="P5" s="73"/>
      <c r="Q5" s="73"/>
      <c r="R5" s="73"/>
      <c r="S5" s="73"/>
      <c r="T5" s="73"/>
      <c r="U5" s="73"/>
      <c r="V5" s="72">
        <f>SUM(D5:U5)</f>
        <v>0</v>
      </c>
      <c r="W5" s="72">
        <f>+V5/C5</f>
        <v>0</v>
      </c>
      <c r="X5" s="74"/>
    </row>
    <row r="6" s="64" customFormat="1" ht="47" customHeight="1" spans="1:24">
      <c r="A6" s="72">
        <v>3</v>
      </c>
      <c r="B6" s="72" t="str">
        <f>+招标清单2024.10.17!B33</f>
        <v>墙面防水工程</v>
      </c>
      <c r="C6" s="73">
        <v>151621.81</v>
      </c>
      <c r="D6" s="73"/>
      <c r="E6" s="73"/>
      <c r="F6" s="73"/>
      <c r="G6" s="73"/>
      <c r="H6" s="73"/>
      <c r="I6" s="73"/>
      <c r="J6" s="73"/>
      <c r="K6" s="73"/>
      <c r="L6" s="73"/>
      <c r="M6" s="73"/>
      <c r="N6" s="73"/>
      <c r="O6" s="73"/>
      <c r="P6" s="73"/>
      <c r="Q6" s="73"/>
      <c r="R6" s="73"/>
      <c r="S6" s="73"/>
      <c r="T6" s="73"/>
      <c r="U6" s="73"/>
      <c r="V6" s="72">
        <f>SUM(D6:U6)</f>
        <v>0</v>
      </c>
      <c r="W6" s="72">
        <f>+V6/C6</f>
        <v>0</v>
      </c>
      <c r="X6" s="74"/>
    </row>
    <row r="7" s="64" customFormat="1" ht="47" customHeight="1" spans="1:24">
      <c r="A7" s="72">
        <v>4</v>
      </c>
      <c r="B7" s="72" t="str">
        <f>+招标清单2024.10.17!B41</f>
        <v>屋面防水工程</v>
      </c>
      <c r="C7" s="73">
        <v>151621.81</v>
      </c>
      <c r="D7" s="73"/>
      <c r="E7" s="73"/>
      <c r="F7" s="73"/>
      <c r="G7" s="73"/>
      <c r="H7" s="73"/>
      <c r="I7" s="73"/>
      <c r="J7" s="73"/>
      <c r="K7" s="73"/>
      <c r="L7" s="73"/>
      <c r="M7" s="73"/>
      <c r="N7" s="73"/>
      <c r="O7" s="73"/>
      <c r="P7" s="73"/>
      <c r="Q7" s="73"/>
      <c r="R7" s="73"/>
      <c r="S7" s="73"/>
      <c r="T7" s="73"/>
      <c r="U7" s="73"/>
      <c r="V7" s="72">
        <f>SUM(D7:U7)</f>
        <v>0</v>
      </c>
      <c r="W7" s="72">
        <f>+V7/C7</f>
        <v>0</v>
      </c>
      <c r="X7" s="74"/>
    </row>
    <row r="8" s="64" customFormat="1" ht="47" customHeight="1" spans="1:24">
      <c r="A8" s="72">
        <v>5</v>
      </c>
      <c r="B8" s="74" t="str">
        <f>+'[1]招标清单（按交楼标准）2024.10.3'!B40</f>
        <v>屋面工程</v>
      </c>
      <c r="C8" s="73">
        <v>151621.81</v>
      </c>
      <c r="D8" s="73"/>
      <c r="E8" s="73"/>
      <c r="F8" s="73"/>
      <c r="G8" s="73"/>
      <c r="H8" s="73"/>
      <c r="I8" s="73"/>
      <c r="J8" s="73"/>
      <c r="K8" s="73"/>
      <c r="L8" s="73"/>
      <c r="M8" s="73"/>
      <c r="N8" s="73"/>
      <c r="O8" s="73"/>
      <c r="P8" s="73"/>
      <c r="Q8" s="73"/>
      <c r="R8" s="73"/>
      <c r="S8" s="73"/>
      <c r="T8" s="73"/>
      <c r="U8" s="73"/>
      <c r="V8" s="72">
        <f>SUM(D8:U8)</f>
        <v>0</v>
      </c>
      <c r="W8" s="72">
        <f>+V8/C8</f>
        <v>0</v>
      </c>
      <c r="X8" s="74"/>
    </row>
    <row r="9" s="65" customFormat="1" ht="36" customHeight="1" spans="1:24">
      <c r="A9" s="72" t="s">
        <v>26</v>
      </c>
      <c r="B9" s="75" t="s">
        <v>27</v>
      </c>
      <c r="C9" s="71"/>
      <c r="D9" s="71">
        <f t="shared" ref="D9:X9" si="0">SUM(D4:D8)</f>
        <v>0</v>
      </c>
      <c r="E9" s="71">
        <f t="shared" si="0"/>
        <v>0</v>
      </c>
      <c r="F9" s="71">
        <f t="shared" si="0"/>
        <v>0</v>
      </c>
      <c r="G9" s="71">
        <f t="shared" si="0"/>
        <v>0</v>
      </c>
      <c r="H9" s="71">
        <f t="shared" si="0"/>
        <v>0</v>
      </c>
      <c r="I9" s="71">
        <f t="shared" si="0"/>
        <v>0</v>
      </c>
      <c r="J9" s="71">
        <f t="shared" si="0"/>
        <v>0</v>
      </c>
      <c r="K9" s="71">
        <f t="shared" si="0"/>
        <v>0</v>
      </c>
      <c r="L9" s="71">
        <f t="shared" si="0"/>
        <v>0</v>
      </c>
      <c r="M9" s="71">
        <f t="shared" si="0"/>
        <v>0</v>
      </c>
      <c r="N9" s="71">
        <f t="shared" si="0"/>
        <v>0</v>
      </c>
      <c r="O9" s="71">
        <f t="shared" si="0"/>
        <v>0</v>
      </c>
      <c r="P9" s="71">
        <f t="shared" si="0"/>
        <v>0</v>
      </c>
      <c r="Q9" s="71">
        <f t="shared" si="0"/>
        <v>0</v>
      </c>
      <c r="R9" s="71">
        <f t="shared" si="0"/>
        <v>0</v>
      </c>
      <c r="S9" s="71">
        <f t="shared" si="0"/>
        <v>0</v>
      </c>
      <c r="T9" s="71">
        <f t="shared" si="0"/>
        <v>0</v>
      </c>
      <c r="U9" s="71">
        <f t="shared" si="0"/>
        <v>0</v>
      </c>
      <c r="V9" s="71">
        <f t="shared" si="0"/>
        <v>0</v>
      </c>
      <c r="W9" s="71">
        <f t="shared" si="0"/>
        <v>0</v>
      </c>
      <c r="X9" s="71"/>
    </row>
    <row r="10" s="65" customFormat="1" ht="51" customHeight="1" spans="1:24">
      <c r="A10" s="70" t="s">
        <v>28</v>
      </c>
      <c r="B10" s="70" t="s">
        <v>29</v>
      </c>
      <c r="C10" s="70"/>
      <c r="D10" s="70"/>
      <c r="E10" s="70"/>
      <c r="F10" s="70"/>
      <c r="G10" s="70"/>
      <c r="H10" s="70"/>
      <c r="I10" s="70"/>
      <c r="J10" s="70"/>
      <c r="K10" s="70"/>
      <c r="L10" s="70"/>
      <c r="M10" s="70"/>
      <c r="N10" s="70"/>
      <c r="O10" s="70"/>
      <c r="P10" s="70"/>
      <c r="Q10" s="70"/>
      <c r="R10" s="70"/>
      <c r="S10" s="70"/>
      <c r="T10" s="70"/>
      <c r="U10" s="70"/>
      <c r="V10" s="70"/>
      <c r="W10" s="70"/>
      <c r="X10" s="77" t="s">
        <v>30</v>
      </c>
    </row>
    <row r="11" s="65" customFormat="1" ht="36" customHeight="1" spans="1:24">
      <c r="A11" s="70" t="s">
        <v>31</v>
      </c>
      <c r="B11" s="70" t="s">
        <v>32</v>
      </c>
      <c r="C11" s="70"/>
      <c r="D11" s="70">
        <f t="shared" ref="D11:W11" si="1">+D10+D9</f>
        <v>0</v>
      </c>
      <c r="E11" s="70">
        <f t="shared" si="1"/>
        <v>0</v>
      </c>
      <c r="F11" s="70">
        <f t="shared" si="1"/>
        <v>0</v>
      </c>
      <c r="G11" s="70">
        <f t="shared" si="1"/>
        <v>0</v>
      </c>
      <c r="H11" s="70">
        <f t="shared" si="1"/>
        <v>0</v>
      </c>
      <c r="I11" s="70">
        <f t="shared" si="1"/>
        <v>0</v>
      </c>
      <c r="J11" s="70">
        <f t="shared" si="1"/>
        <v>0</v>
      </c>
      <c r="K11" s="70">
        <f t="shared" si="1"/>
        <v>0</v>
      </c>
      <c r="L11" s="70">
        <f t="shared" si="1"/>
        <v>0</v>
      </c>
      <c r="M11" s="70">
        <f t="shared" si="1"/>
        <v>0</v>
      </c>
      <c r="N11" s="70">
        <f t="shared" si="1"/>
        <v>0</v>
      </c>
      <c r="O11" s="70">
        <f t="shared" si="1"/>
        <v>0</v>
      </c>
      <c r="P11" s="70">
        <f t="shared" si="1"/>
        <v>0</v>
      </c>
      <c r="Q11" s="70">
        <f t="shared" si="1"/>
        <v>0</v>
      </c>
      <c r="R11" s="70">
        <f t="shared" si="1"/>
        <v>0</v>
      </c>
      <c r="S11" s="70">
        <f t="shared" si="1"/>
        <v>0</v>
      </c>
      <c r="T11" s="70">
        <f t="shared" si="1"/>
        <v>0</v>
      </c>
      <c r="U11" s="70">
        <f t="shared" si="1"/>
        <v>0</v>
      </c>
      <c r="V11" s="70">
        <f t="shared" si="1"/>
        <v>0</v>
      </c>
      <c r="W11" s="70"/>
      <c r="X11" s="70"/>
    </row>
  </sheetData>
  <mergeCells count="1">
    <mergeCell ref="A1:X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outlinePr summaryBelow="0"/>
  </sheetPr>
  <dimension ref="A1:AD52"/>
  <sheetViews>
    <sheetView showGridLines="0" tabSelected="1" view="pageBreakPreview" zoomScale="85" zoomScaleNormal="100" workbookViewId="0">
      <pane ySplit="3" topLeftCell="A39" activePane="bottomLeft" state="frozen"/>
      <selection/>
      <selection pane="bottomLeft" activeCell="A45" sqref="A45:AD45"/>
    </sheetView>
  </sheetViews>
  <sheetFormatPr defaultColWidth="9" defaultRowHeight="11.25"/>
  <cols>
    <col min="1" max="1" width="6.28571428571429" style="3" customWidth="1"/>
    <col min="2" max="2" width="46.5333333333333" style="9" customWidth="1"/>
    <col min="3" max="3" width="43.7047619047619" style="9" customWidth="1"/>
    <col min="4" max="4" width="37.8571428571429" style="9" customWidth="1"/>
    <col min="5" max="5" width="7" style="3" customWidth="1"/>
    <col min="6" max="6" width="15.5047619047619" style="10" customWidth="1"/>
    <col min="7" max="12" width="12.8571428571429" style="10" customWidth="1"/>
    <col min="13" max="14" width="10.7142857142857" style="10" customWidth="1"/>
    <col min="15" max="15" width="13.6666666666667" style="10" customWidth="1"/>
    <col min="16" max="19" width="13.0571428571429" style="10" customWidth="1"/>
    <col min="20" max="20" width="12.447619047619" style="10" customWidth="1"/>
    <col min="21" max="23" width="10.7142857142857" style="10" customWidth="1"/>
    <col min="24" max="24" width="13.6666666666667" style="10" customWidth="1"/>
    <col min="25" max="26" width="10.7142857142857" style="10" customWidth="1"/>
    <col min="27" max="27" width="15.4285714285714" style="10" customWidth="1"/>
    <col min="28" max="28" width="13.8571428571429" style="10" customWidth="1"/>
    <col min="29" max="29" width="18.3142857142857" style="11" customWidth="1"/>
    <col min="30" max="30" width="24.4285714285714" style="12" customWidth="1"/>
    <col min="31" max="16383" width="9" style="3"/>
  </cols>
  <sheetData>
    <row r="1" ht="36" customHeight="1" spans="1:30">
      <c r="A1" s="13" t="s">
        <v>33</v>
      </c>
      <c r="B1" s="13"/>
      <c r="C1" s="13"/>
      <c r="D1" s="13"/>
      <c r="E1" s="13"/>
      <c r="F1" s="14"/>
      <c r="G1" s="14"/>
      <c r="H1" s="14"/>
      <c r="I1" s="14"/>
      <c r="J1" s="14"/>
      <c r="K1" s="14"/>
      <c r="L1" s="14"/>
      <c r="M1" s="14"/>
      <c r="N1" s="14"/>
      <c r="O1" s="14"/>
      <c r="P1" s="14"/>
      <c r="Q1" s="14"/>
      <c r="R1" s="14"/>
      <c r="S1" s="14"/>
      <c r="T1" s="14"/>
      <c r="U1" s="14"/>
      <c r="V1" s="14"/>
      <c r="W1" s="14"/>
      <c r="X1" s="14"/>
      <c r="Y1" s="14"/>
      <c r="Z1" s="14"/>
      <c r="AA1" s="14"/>
      <c r="AB1" s="14"/>
      <c r="AC1" s="51"/>
      <c r="AD1" s="52"/>
    </row>
    <row r="2" s="1" customFormat="1" ht="30" customHeight="1" spans="1:30">
      <c r="A2" s="15" t="s">
        <v>34</v>
      </c>
      <c r="B2" s="16"/>
      <c r="C2" s="16"/>
      <c r="D2" s="16"/>
      <c r="E2" s="15"/>
      <c r="F2" s="17"/>
      <c r="G2" s="17"/>
      <c r="H2" s="17"/>
      <c r="I2" s="17"/>
      <c r="J2" s="17"/>
      <c r="K2" s="17"/>
      <c r="L2" s="17"/>
      <c r="M2" s="17"/>
      <c r="N2" s="17"/>
      <c r="O2" s="17"/>
      <c r="P2" s="17"/>
      <c r="Q2" s="17"/>
      <c r="R2" s="17"/>
      <c r="S2" s="17"/>
      <c r="T2" s="17"/>
      <c r="U2" s="17"/>
      <c r="V2" s="17"/>
      <c r="W2" s="17"/>
      <c r="X2" s="17"/>
      <c r="Y2" s="17"/>
      <c r="Z2" s="17"/>
      <c r="AA2" s="17"/>
      <c r="AB2" s="17"/>
      <c r="AC2" s="53"/>
      <c r="AD2" s="15"/>
    </row>
    <row r="3" s="2" customFormat="1" ht="60" customHeight="1" spans="1:30">
      <c r="A3" s="18" t="s">
        <v>1</v>
      </c>
      <c r="B3" s="18" t="s">
        <v>2</v>
      </c>
      <c r="C3" s="18" t="s">
        <v>35</v>
      </c>
      <c r="D3" s="18" t="s">
        <v>36</v>
      </c>
      <c r="E3" s="18" t="s">
        <v>37</v>
      </c>
      <c r="F3" s="19" t="s">
        <v>38</v>
      </c>
      <c r="G3" s="19" t="s">
        <v>39</v>
      </c>
      <c r="H3" s="19" t="s">
        <v>40</v>
      </c>
      <c r="I3" s="19" t="s">
        <v>41</v>
      </c>
      <c r="J3" s="19" t="s">
        <v>42</v>
      </c>
      <c r="K3" s="19" t="s">
        <v>43</v>
      </c>
      <c r="L3" s="19" t="s">
        <v>44</v>
      </c>
      <c r="M3" s="19" t="s">
        <v>45</v>
      </c>
      <c r="N3" s="19" t="s">
        <v>46</v>
      </c>
      <c r="O3" s="19" t="s">
        <v>47</v>
      </c>
      <c r="P3" s="19" t="s">
        <v>48</v>
      </c>
      <c r="Q3" s="19" t="s">
        <v>49</v>
      </c>
      <c r="R3" s="19" t="s">
        <v>50</v>
      </c>
      <c r="S3" s="19" t="s">
        <v>51</v>
      </c>
      <c r="T3" s="19" t="s">
        <v>52</v>
      </c>
      <c r="U3" s="19" t="s">
        <v>53</v>
      </c>
      <c r="V3" s="19" t="s">
        <v>54</v>
      </c>
      <c r="W3" s="19" t="s">
        <v>55</v>
      </c>
      <c r="X3" s="19" t="s">
        <v>56</v>
      </c>
      <c r="Y3" s="19" t="s">
        <v>57</v>
      </c>
      <c r="Z3" s="19" t="s">
        <v>58</v>
      </c>
      <c r="AA3" s="19" t="s">
        <v>59</v>
      </c>
      <c r="AB3" s="19" t="s">
        <v>60</v>
      </c>
      <c r="AC3" s="54" t="s">
        <v>61</v>
      </c>
      <c r="AD3" s="18" t="s">
        <v>24</v>
      </c>
    </row>
    <row r="4" s="2" customFormat="1" ht="39" customHeight="1" spans="1:30">
      <c r="A4" s="20" t="s">
        <v>26</v>
      </c>
      <c r="B4" s="21" t="s">
        <v>62</v>
      </c>
      <c r="C4" s="22"/>
      <c r="D4" s="23"/>
      <c r="E4" s="18"/>
      <c r="F4" s="19"/>
      <c r="G4" s="19"/>
      <c r="H4" s="19"/>
      <c r="I4" s="19"/>
      <c r="J4" s="19"/>
      <c r="K4" s="19"/>
      <c r="L4" s="19"/>
      <c r="M4" s="19"/>
      <c r="N4" s="19"/>
      <c r="O4" s="19"/>
      <c r="P4" s="19"/>
      <c r="Q4" s="19"/>
      <c r="R4" s="19"/>
      <c r="S4" s="19"/>
      <c r="T4" s="19"/>
      <c r="U4" s="19"/>
      <c r="V4" s="19"/>
      <c r="W4" s="19"/>
      <c r="X4" s="19"/>
      <c r="Y4" s="19"/>
      <c r="Z4" s="19"/>
      <c r="AA4" s="19"/>
      <c r="AB4" s="19"/>
      <c r="AC4" s="54"/>
      <c r="AD4" s="18"/>
    </row>
    <row r="5" s="3" customFormat="1" ht="80" customHeight="1" spans="1:30">
      <c r="A5" s="20">
        <v>1</v>
      </c>
      <c r="B5" s="20" t="s">
        <v>63</v>
      </c>
      <c r="C5" s="24" t="s">
        <v>64</v>
      </c>
      <c r="D5" s="20" t="s">
        <v>65</v>
      </c>
      <c r="E5" s="20" t="s">
        <v>66</v>
      </c>
      <c r="F5" s="25">
        <f t="shared" ref="F5:F9" si="0">SUM(G5:X5)</f>
        <v>8693.21</v>
      </c>
      <c r="G5" s="25"/>
      <c r="H5" s="25"/>
      <c r="I5" s="25"/>
      <c r="J5" s="25"/>
      <c r="K5" s="25"/>
      <c r="L5" s="25"/>
      <c r="M5" s="25">
        <v>1089.63</v>
      </c>
      <c r="N5" s="25">
        <v>813.29</v>
      </c>
      <c r="O5" s="25">
        <v>6790.29</v>
      </c>
      <c r="P5" s="25"/>
      <c r="Q5" s="25"/>
      <c r="R5" s="25"/>
      <c r="S5" s="25"/>
      <c r="T5" s="25"/>
      <c r="U5" s="25"/>
      <c r="V5" s="25"/>
      <c r="W5" s="25"/>
      <c r="X5" s="25"/>
      <c r="Y5" s="25"/>
      <c r="Z5" s="25"/>
      <c r="AA5" s="25"/>
      <c r="AB5" s="55"/>
      <c r="AC5" s="56"/>
      <c r="AD5" s="24"/>
    </row>
    <row r="6" ht="73" customHeight="1" spans="1:30">
      <c r="A6" s="20">
        <v>2</v>
      </c>
      <c r="B6" s="20" t="s">
        <v>67</v>
      </c>
      <c r="C6" s="24" t="s">
        <v>68</v>
      </c>
      <c r="D6" s="20" t="s">
        <v>65</v>
      </c>
      <c r="E6" s="20" t="s">
        <v>66</v>
      </c>
      <c r="F6" s="25">
        <f t="shared" si="0"/>
        <v>8693.21</v>
      </c>
      <c r="G6" s="25"/>
      <c r="H6" s="25"/>
      <c r="I6" s="25"/>
      <c r="J6" s="25"/>
      <c r="K6" s="25"/>
      <c r="L6" s="25"/>
      <c r="M6" s="25">
        <v>1089.63</v>
      </c>
      <c r="N6" s="25">
        <v>813.29</v>
      </c>
      <c r="O6" s="25">
        <v>6790.29</v>
      </c>
      <c r="P6" s="25"/>
      <c r="Q6" s="25"/>
      <c r="R6" s="25"/>
      <c r="S6" s="25"/>
      <c r="T6" s="25"/>
      <c r="U6" s="25"/>
      <c r="V6" s="25"/>
      <c r="W6" s="25"/>
      <c r="X6" s="25"/>
      <c r="Y6" s="25"/>
      <c r="Z6" s="25"/>
      <c r="AA6" s="25"/>
      <c r="AB6" s="25"/>
      <c r="AC6" s="56"/>
      <c r="AD6" s="24"/>
    </row>
    <row r="7" s="4" customFormat="1" ht="34" customHeight="1" spans="1:30">
      <c r="A7" s="18">
        <v>3</v>
      </c>
      <c r="B7" s="21" t="s">
        <v>62</v>
      </c>
      <c r="C7" s="22"/>
      <c r="D7" s="23"/>
      <c r="E7" s="26" t="s">
        <v>69</v>
      </c>
      <c r="F7" s="19">
        <f>SUM(F5:F6)</f>
        <v>17386.42</v>
      </c>
      <c r="G7" s="19">
        <f t="shared" ref="G7:X7" si="1">SUM(G5:G6)</f>
        <v>0</v>
      </c>
      <c r="H7" s="19">
        <f t="shared" si="1"/>
        <v>0</v>
      </c>
      <c r="I7" s="19">
        <f t="shared" si="1"/>
        <v>0</v>
      </c>
      <c r="J7" s="19">
        <f t="shared" si="1"/>
        <v>0</v>
      </c>
      <c r="K7" s="19">
        <f t="shared" si="1"/>
        <v>0</v>
      </c>
      <c r="L7" s="19">
        <f t="shared" si="1"/>
        <v>0</v>
      </c>
      <c r="M7" s="19">
        <f t="shared" si="1"/>
        <v>2179.26</v>
      </c>
      <c r="N7" s="19">
        <f t="shared" si="1"/>
        <v>1626.58</v>
      </c>
      <c r="O7" s="19">
        <f t="shared" si="1"/>
        <v>13580.58</v>
      </c>
      <c r="P7" s="19">
        <f t="shared" si="1"/>
        <v>0</v>
      </c>
      <c r="Q7" s="19">
        <f t="shared" si="1"/>
        <v>0</v>
      </c>
      <c r="R7" s="19">
        <f t="shared" si="1"/>
        <v>0</v>
      </c>
      <c r="S7" s="19">
        <f t="shared" si="1"/>
        <v>0</v>
      </c>
      <c r="T7" s="19">
        <f t="shared" si="1"/>
        <v>0</v>
      </c>
      <c r="U7" s="19">
        <f t="shared" si="1"/>
        <v>0</v>
      </c>
      <c r="V7" s="19">
        <f t="shared" si="1"/>
        <v>0</v>
      </c>
      <c r="W7" s="19">
        <f t="shared" si="1"/>
        <v>0</v>
      </c>
      <c r="X7" s="19">
        <f t="shared" si="1"/>
        <v>0</v>
      </c>
      <c r="Y7" s="19"/>
      <c r="Z7" s="19"/>
      <c r="AA7" s="19"/>
      <c r="AB7" s="19"/>
      <c r="AC7" s="54"/>
      <c r="AD7" s="57"/>
    </row>
    <row r="8" s="5" customFormat="1" ht="37" customHeight="1" spans="1:30">
      <c r="A8" s="18" t="s">
        <v>28</v>
      </c>
      <c r="B8" s="27" t="s">
        <v>70</v>
      </c>
      <c r="C8" s="22"/>
      <c r="D8" s="23"/>
      <c r="E8" s="18"/>
      <c r="F8" s="19"/>
      <c r="G8" s="19"/>
      <c r="H8" s="19"/>
      <c r="I8" s="19"/>
      <c r="J8" s="19"/>
      <c r="K8" s="19"/>
      <c r="L8" s="19"/>
      <c r="M8" s="19"/>
      <c r="N8" s="19"/>
      <c r="O8" s="19"/>
      <c r="P8" s="19"/>
      <c r="Q8" s="19"/>
      <c r="R8" s="19"/>
      <c r="S8" s="19"/>
      <c r="T8" s="19"/>
      <c r="U8" s="19"/>
      <c r="V8" s="19"/>
      <c r="W8" s="19"/>
      <c r="X8" s="19"/>
      <c r="Y8" s="19"/>
      <c r="Z8" s="19"/>
      <c r="AA8" s="19"/>
      <c r="AB8" s="19"/>
      <c r="AC8" s="54"/>
      <c r="AD8" s="58"/>
    </row>
    <row r="9" s="6" customFormat="1" ht="56" customHeight="1" collapsed="1" spans="1:30">
      <c r="A9" s="20">
        <v>1</v>
      </c>
      <c r="B9" s="20" t="s">
        <v>71</v>
      </c>
      <c r="C9" s="24" t="s">
        <v>72</v>
      </c>
      <c r="D9" s="28" t="s">
        <v>65</v>
      </c>
      <c r="E9" s="28" t="s">
        <v>66</v>
      </c>
      <c r="F9" s="25">
        <f t="shared" si="0"/>
        <v>6957.04</v>
      </c>
      <c r="G9" s="29">
        <f>SUM(G10:G15)</f>
        <v>579.965</v>
      </c>
      <c r="H9" s="29">
        <f>SUM(H10:H15)</f>
        <v>493.95</v>
      </c>
      <c r="I9" s="29">
        <f>SUM(I10:I15)</f>
        <v>587.9975</v>
      </c>
      <c r="J9" s="29">
        <f>SUM(J10:J15)</f>
        <v>493.95</v>
      </c>
      <c r="K9" s="29">
        <f t="shared" ref="K9:S9" si="2">SUM(K10:K15)</f>
        <v>825.204</v>
      </c>
      <c r="L9" s="29">
        <f t="shared" si="2"/>
        <v>480.58</v>
      </c>
      <c r="M9" s="29">
        <f t="shared" si="2"/>
        <v>0</v>
      </c>
      <c r="N9" s="29">
        <f t="shared" si="2"/>
        <v>0</v>
      </c>
      <c r="O9" s="29">
        <f t="shared" si="2"/>
        <v>0</v>
      </c>
      <c r="P9" s="29">
        <f t="shared" si="2"/>
        <v>521.33</v>
      </c>
      <c r="Q9" s="29">
        <f t="shared" si="2"/>
        <v>616.71</v>
      </c>
      <c r="R9" s="29">
        <f t="shared" si="2"/>
        <v>493.95</v>
      </c>
      <c r="S9" s="29">
        <f t="shared" si="2"/>
        <v>630.18</v>
      </c>
      <c r="T9" s="29">
        <f>12208.13*0.05</f>
        <v>610.4065</v>
      </c>
      <c r="U9" s="29">
        <f>SUM(U10:U15)</f>
        <v>0</v>
      </c>
      <c r="V9" s="29">
        <f>SUM(V10:V15)</f>
        <v>0</v>
      </c>
      <c r="W9" s="29">
        <f>SUM(W10:W15)</f>
        <v>0</v>
      </c>
      <c r="X9" s="29">
        <f>0.05*12456.34</f>
        <v>622.817</v>
      </c>
      <c r="Y9" s="49"/>
      <c r="Z9" s="49"/>
      <c r="AA9" s="25"/>
      <c r="AB9" s="25"/>
      <c r="AC9" s="56"/>
      <c r="AD9" s="24"/>
    </row>
    <row r="10" s="3" customFormat="1" ht="54" hidden="1" customHeight="1" outlineLevel="1" spans="1:30">
      <c r="A10" s="20">
        <v>1.1</v>
      </c>
      <c r="B10" s="20" t="s">
        <v>73</v>
      </c>
      <c r="C10" s="20"/>
      <c r="D10" s="20"/>
      <c r="E10" s="20"/>
      <c r="F10" s="25">
        <f t="shared" ref="F5:F16" si="3">G10+H10+I10+J10+K10+L10+P10+Q10+R10+S10+T10+U10+V10+W10+X10+M10+N10+O10</f>
        <v>890.8325</v>
      </c>
      <c r="G10" s="25">
        <v>79.015</v>
      </c>
      <c r="H10" s="25">
        <v>76.41</v>
      </c>
      <c r="I10" s="25">
        <v>79.3975</v>
      </c>
      <c r="J10" s="25">
        <v>76.41</v>
      </c>
      <c r="K10" s="25">
        <v>79.87</v>
      </c>
      <c r="L10" s="25">
        <v>69.3</v>
      </c>
      <c r="M10" s="25"/>
      <c r="N10" s="25"/>
      <c r="O10" s="25"/>
      <c r="P10" s="25">
        <v>103.7</v>
      </c>
      <c r="Q10" s="25">
        <v>123.14</v>
      </c>
      <c r="R10" s="49">
        <f t="shared" ref="R10:R16" si="4">H10</f>
        <v>76.41</v>
      </c>
      <c r="S10" s="25">
        <v>127.18</v>
      </c>
      <c r="T10" s="29"/>
      <c r="U10" s="25"/>
      <c r="V10" s="25"/>
      <c r="W10" s="25"/>
      <c r="X10" s="25"/>
      <c r="Y10" s="25"/>
      <c r="Z10" s="25"/>
      <c r="AA10" s="25"/>
      <c r="AB10" s="25"/>
      <c r="AC10" s="56"/>
      <c r="AD10" s="20"/>
    </row>
    <row r="11" s="3" customFormat="1" ht="54" hidden="1" customHeight="1" outlineLevel="1" spans="1:30">
      <c r="A11" s="20">
        <v>1.2</v>
      </c>
      <c r="B11" s="20" t="s">
        <v>74</v>
      </c>
      <c r="C11" s="20"/>
      <c r="D11" s="20"/>
      <c r="E11" s="20"/>
      <c r="F11" s="25">
        <f t="shared" si="3"/>
        <v>2764.42</v>
      </c>
      <c r="G11" s="25">
        <v>267.14</v>
      </c>
      <c r="H11" s="25">
        <v>217.46</v>
      </c>
      <c r="I11" s="25">
        <f>7.84+260.28</f>
        <v>268.12</v>
      </c>
      <c r="J11" s="25">
        <v>217.46</v>
      </c>
      <c r="K11" s="25">
        <v>515.46</v>
      </c>
      <c r="L11" s="25">
        <v>251.92</v>
      </c>
      <c r="M11" s="25"/>
      <c r="N11" s="25"/>
      <c r="O11" s="25"/>
      <c r="P11" s="25">
        <v>225.99</v>
      </c>
      <c r="Q11" s="25">
        <v>294.09</v>
      </c>
      <c r="R11" s="49">
        <f t="shared" si="4"/>
        <v>217.46</v>
      </c>
      <c r="S11" s="25">
        <v>289.32</v>
      </c>
      <c r="T11" s="25"/>
      <c r="U11" s="25"/>
      <c r="V11" s="25"/>
      <c r="W11" s="25"/>
      <c r="X11" s="25"/>
      <c r="Y11" s="25"/>
      <c r="Z11" s="25"/>
      <c r="AA11" s="25"/>
      <c r="AB11" s="25"/>
      <c r="AC11" s="56"/>
      <c r="AD11" s="20"/>
    </row>
    <row r="12" s="3" customFormat="1" ht="54" hidden="1" customHeight="1" outlineLevel="1" spans="1:30">
      <c r="A12" s="20">
        <v>1.3</v>
      </c>
      <c r="B12" s="20" t="s">
        <v>75</v>
      </c>
      <c r="C12" s="20"/>
      <c r="D12" s="20"/>
      <c r="E12" s="20"/>
      <c r="F12" s="25">
        <f t="shared" si="3"/>
        <v>516.991</v>
      </c>
      <c r="G12" s="25">
        <v>58.415</v>
      </c>
      <c r="H12" s="25">
        <v>50.02</v>
      </c>
      <c r="I12" s="25">
        <v>60.04</v>
      </c>
      <c r="J12" s="25">
        <v>50.02</v>
      </c>
      <c r="K12" s="25">
        <v>57.436</v>
      </c>
      <c r="L12" s="25">
        <v>39.84</v>
      </c>
      <c r="M12" s="25"/>
      <c r="N12" s="25"/>
      <c r="O12" s="25"/>
      <c r="P12" s="25">
        <v>47.91</v>
      </c>
      <c r="Q12" s="25">
        <v>49.87</v>
      </c>
      <c r="R12" s="49">
        <f t="shared" si="4"/>
        <v>50.02</v>
      </c>
      <c r="S12" s="25">
        <v>53.42</v>
      </c>
      <c r="T12" s="25"/>
      <c r="U12" s="25"/>
      <c r="V12" s="25"/>
      <c r="W12" s="25"/>
      <c r="X12" s="25"/>
      <c r="Y12" s="25"/>
      <c r="Z12" s="25"/>
      <c r="AA12" s="25"/>
      <c r="AB12" s="25"/>
      <c r="AC12" s="56"/>
      <c r="AD12" s="20"/>
    </row>
    <row r="13" s="3" customFormat="1" ht="54" hidden="1" customHeight="1" outlineLevel="1" spans="1:30">
      <c r="A13" s="20">
        <v>1.4</v>
      </c>
      <c r="B13" s="20" t="s">
        <v>76</v>
      </c>
      <c r="C13" s="20"/>
      <c r="D13" s="20"/>
      <c r="E13" s="20"/>
      <c r="F13" s="25">
        <f t="shared" si="3"/>
        <v>517.066</v>
      </c>
      <c r="G13" s="25">
        <v>58.49</v>
      </c>
      <c r="H13" s="25">
        <v>50.02</v>
      </c>
      <c r="I13" s="25">
        <v>60.04</v>
      </c>
      <c r="J13" s="25">
        <v>50.02</v>
      </c>
      <c r="K13" s="25">
        <v>57.436</v>
      </c>
      <c r="L13" s="25">
        <v>39.84</v>
      </c>
      <c r="M13" s="25"/>
      <c r="N13" s="25"/>
      <c r="O13" s="25"/>
      <c r="P13" s="25">
        <v>47.91</v>
      </c>
      <c r="Q13" s="25">
        <v>49.87</v>
      </c>
      <c r="R13" s="49">
        <f t="shared" si="4"/>
        <v>50.02</v>
      </c>
      <c r="S13" s="25">
        <v>53.42</v>
      </c>
      <c r="T13" s="25"/>
      <c r="U13" s="25"/>
      <c r="V13" s="25"/>
      <c r="W13" s="25"/>
      <c r="X13" s="25"/>
      <c r="Y13" s="25"/>
      <c r="Z13" s="25"/>
      <c r="AA13" s="25"/>
      <c r="AB13" s="25"/>
      <c r="AC13" s="56"/>
      <c r="AD13" s="20"/>
    </row>
    <row r="14" s="3" customFormat="1" ht="54" hidden="1" customHeight="1" outlineLevel="1" spans="1:30">
      <c r="A14" s="20">
        <v>1.5</v>
      </c>
      <c r="B14" s="20" t="s">
        <v>77</v>
      </c>
      <c r="C14" s="20"/>
      <c r="D14" s="20"/>
      <c r="E14" s="20"/>
      <c r="F14" s="25">
        <f t="shared" si="3"/>
        <v>517.291</v>
      </c>
      <c r="G14" s="25">
        <v>58.49</v>
      </c>
      <c r="H14" s="25">
        <v>50.02</v>
      </c>
      <c r="I14" s="25">
        <v>60.2</v>
      </c>
      <c r="J14" s="25">
        <v>50.02</v>
      </c>
      <c r="K14" s="25">
        <v>57.501</v>
      </c>
      <c r="L14" s="25">
        <v>39.84</v>
      </c>
      <c r="M14" s="25"/>
      <c r="N14" s="25"/>
      <c r="O14" s="25"/>
      <c r="P14" s="25">
        <v>47.91</v>
      </c>
      <c r="Q14" s="25">
        <v>49.87</v>
      </c>
      <c r="R14" s="49">
        <f t="shared" si="4"/>
        <v>50.02</v>
      </c>
      <c r="S14" s="25">
        <v>53.42</v>
      </c>
      <c r="T14" s="25"/>
      <c r="U14" s="25"/>
      <c r="V14" s="25"/>
      <c r="W14" s="25"/>
      <c r="X14" s="25"/>
      <c r="Y14" s="25"/>
      <c r="Z14" s="25"/>
      <c r="AA14" s="25"/>
      <c r="AB14" s="25"/>
      <c r="AC14" s="56"/>
      <c r="AD14" s="20"/>
    </row>
    <row r="15" s="3" customFormat="1" ht="54" hidden="1" customHeight="1" outlineLevel="1" spans="1:30">
      <c r="A15" s="20">
        <v>1.6</v>
      </c>
      <c r="B15" s="20" t="s">
        <v>78</v>
      </c>
      <c r="C15" s="20"/>
      <c r="D15" s="20"/>
      <c r="E15" s="20"/>
      <c r="F15" s="25">
        <f t="shared" si="3"/>
        <v>517.216</v>
      </c>
      <c r="G15" s="25">
        <v>58.415</v>
      </c>
      <c r="H15" s="25">
        <v>50.02</v>
      </c>
      <c r="I15" s="25">
        <v>60.2</v>
      </c>
      <c r="J15" s="25">
        <v>50.02</v>
      </c>
      <c r="K15" s="25">
        <v>57.501</v>
      </c>
      <c r="L15" s="25">
        <v>39.84</v>
      </c>
      <c r="M15" s="25"/>
      <c r="N15" s="25"/>
      <c r="O15" s="25"/>
      <c r="P15" s="25">
        <v>47.91</v>
      </c>
      <c r="Q15" s="25">
        <v>49.87</v>
      </c>
      <c r="R15" s="49">
        <f t="shared" si="4"/>
        <v>50.02</v>
      </c>
      <c r="S15" s="25">
        <v>53.42</v>
      </c>
      <c r="T15" s="25"/>
      <c r="U15" s="25"/>
      <c r="V15" s="25"/>
      <c r="W15" s="25"/>
      <c r="X15" s="25"/>
      <c r="Y15" s="25"/>
      <c r="Z15" s="25"/>
      <c r="AA15" s="25"/>
      <c r="AB15" s="25"/>
      <c r="AC15" s="56"/>
      <c r="AD15" s="20"/>
    </row>
    <row r="16" s="3" customFormat="1" ht="54" hidden="1" customHeight="1" outlineLevel="1" spans="1:30">
      <c r="A16" s="20">
        <v>1.7</v>
      </c>
      <c r="B16" s="20" t="s">
        <v>79</v>
      </c>
      <c r="C16" s="20"/>
      <c r="D16" s="30"/>
      <c r="E16" s="30"/>
      <c r="F16" s="25">
        <f t="shared" si="3"/>
        <v>0</v>
      </c>
      <c r="G16" s="31"/>
      <c r="H16" s="32"/>
      <c r="I16" s="32"/>
      <c r="J16" s="32"/>
      <c r="K16" s="32"/>
      <c r="L16" s="32"/>
      <c r="M16" s="32"/>
      <c r="N16" s="32"/>
      <c r="O16" s="32"/>
      <c r="P16" s="32"/>
      <c r="Q16" s="32"/>
      <c r="R16" s="49">
        <f t="shared" si="4"/>
        <v>0</v>
      </c>
      <c r="S16" s="32"/>
      <c r="T16" s="32"/>
      <c r="U16" s="32"/>
      <c r="V16" s="32"/>
      <c r="W16" s="32"/>
      <c r="X16" s="32"/>
      <c r="Y16" s="32"/>
      <c r="Z16" s="32"/>
      <c r="AA16" s="25"/>
      <c r="AB16" s="25"/>
      <c r="AC16" s="56"/>
      <c r="AD16" s="20"/>
    </row>
    <row r="17" s="3" customFormat="1" ht="68" customHeight="1" spans="1:30">
      <c r="A17" s="20">
        <v>2</v>
      </c>
      <c r="B17" s="20" t="s">
        <v>80</v>
      </c>
      <c r="C17" s="24" t="s">
        <v>81</v>
      </c>
      <c r="D17" s="20" t="s">
        <v>65</v>
      </c>
      <c r="E17" s="20" t="s">
        <v>66</v>
      </c>
      <c r="F17" s="25">
        <f t="shared" ref="F17:F19" si="5">SUM(G17:X17)</f>
        <v>57.67</v>
      </c>
      <c r="G17" s="25">
        <v>57.67</v>
      </c>
      <c r="H17" s="25"/>
      <c r="I17" s="25"/>
      <c r="J17" s="25"/>
      <c r="K17" s="25"/>
      <c r="L17" s="25"/>
      <c r="M17" s="25"/>
      <c r="N17" s="25"/>
      <c r="O17" s="25"/>
      <c r="P17" s="25"/>
      <c r="Q17" s="25"/>
      <c r="R17" s="25"/>
      <c r="S17" s="25"/>
      <c r="T17" s="25"/>
      <c r="U17" s="25"/>
      <c r="V17" s="25"/>
      <c r="W17" s="25"/>
      <c r="X17" s="25"/>
      <c r="Y17" s="25"/>
      <c r="Z17" s="25"/>
      <c r="AA17" s="25"/>
      <c r="AB17" s="25"/>
      <c r="AC17" s="56"/>
      <c r="AD17" s="20"/>
    </row>
    <row r="18" s="3" customFormat="1" ht="78" customHeight="1" spans="1:30">
      <c r="A18" s="20">
        <v>3</v>
      </c>
      <c r="B18" s="20" t="s">
        <v>82</v>
      </c>
      <c r="C18" s="24" t="s">
        <v>83</v>
      </c>
      <c r="D18" s="20" t="s">
        <v>65</v>
      </c>
      <c r="E18" s="20" t="s">
        <v>66</v>
      </c>
      <c r="F18" s="25">
        <f t="shared" si="5"/>
        <v>18.91</v>
      </c>
      <c r="G18" s="25"/>
      <c r="H18" s="25"/>
      <c r="I18" s="25"/>
      <c r="J18" s="25"/>
      <c r="K18" s="25"/>
      <c r="L18" s="25"/>
      <c r="M18" s="25"/>
      <c r="N18" s="25"/>
      <c r="O18" s="25"/>
      <c r="P18" s="25"/>
      <c r="Q18" s="25"/>
      <c r="R18" s="25"/>
      <c r="S18" s="25"/>
      <c r="T18" s="25"/>
      <c r="U18" s="25">
        <v>4.91</v>
      </c>
      <c r="V18" s="25">
        <v>7.8</v>
      </c>
      <c r="W18" s="25">
        <v>6.2</v>
      </c>
      <c r="X18" s="25"/>
      <c r="Y18" s="25"/>
      <c r="Z18" s="25"/>
      <c r="AA18" s="25"/>
      <c r="AB18" s="25"/>
      <c r="AC18" s="56"/>
      <c r="AD18" s="20"/>
    </row>
    <row r="19" s="3" customFormat="1" ht="52" customHeight="1" spans="1:30">
      <c r="A19" s="20">
        <v>4</v>
      </c>
      <c r="B19" s="20" t="s">
        <v>84</v>
      </c>
      <c r="C19" s="24" t="s">
        <v>85</v>
      </c>
      <c r="D19" s="20" t="s">
        <v>65</v>
      </c>
      <c r="E19" s="20" t="s">
        <v>66</v>
      </c>
      <c r="F19" s="25">
        <f t="shared" si="5"/>
        <v>18.91</v>
      </c>
      <c r="G19" s="25"/>
      <c r="H19" s="25"/>
      <c r="I19" s="25"/>
      <c r="J19" s="25"/>
      <c r="K19" s="25"/>
      <c r="L19" s="25"/>
      <c r="M19" s="25"/>
      <c r="N19" s="25"/>
      <c r="O19" s="25"/>
      <c r="P19" s="25"/>
      <c r="Q19" s="25"/>
      <c r="R19" s="25"/>
      <c r="S19" s="25"/>
      <c r="T19" s="25"/>
      <c r="U19" s="25">
        <v>4.91</v>
      </c>
      <c r="V19" s="25">
        <v>7.8</v>
      </c>
      <c r="W19" s="25">
        <v>6.2</v>
      </c>
      <c r="X19" s="25"/>
      <c r="Y19" s="25"/>
      <c r="Z19" s="25"/>
      <c r="AA19" s="25"/>
      <c r="AB19" s="25"/>
      <c r="AC19" s="56"/>
      <c r="AD19" s="20"/>
    </row>
    <row r="20" s="4" customFormat="1" ht="39" customHeight="1" spans="1:30">
      <c r="A20" s="18">
        <v>5</v>
      </c>
      <c r="B20" s="27" t="s">
        <v>86</v>
      </c>
      <c r="C20" s="22"/>
      <c r="D20" s="23"/>
      <c r="E20" s="26" t="s">
        <v>69</v>
      </c>
      <c r="F20" s="19">
        <f>+F9+F17+F18+F19</f>
        <v>7052.53</v>
      </c>
      <c r="G20" s="19">
        <f t="shared" ref="G20:X20" si="6">SUM(G9:G19)</f>
        <v>1217.6</v>
      </c>
      <c r="H20" s="19">
        <f t="shared" si="6"/>
        <v>987.9</v>
      </c>
      <c r="I20" s="19">
        <f t="shared" si="6"/>
        <v>1175.995</v>
      </c>
      <c r="J20" s="19">
        <f t="shared" si="6"/>
        <v>987.9</v>
      </c>
      <c r="K20" s="19">
        <f t="shared" si="6"/>
        <v>1650.408</v>
      </c>
      <c r="L20" s="19">
        <f t="shared" si="6"/>
        <v>961.16</v>
      </c>
      <c r="M20" s="19">
        <f t="shared" si="6"/>
        <v>0</v>
      </c>
      <c r="N20" s="19">
        <f t="shared" si="6"/>
        <v>0</v>
      </c>
      <c r="O20" s="19">
        <f t="shared" si="6"/>
        <v>0</v>
      </c>
      <c r="P20" s="19">
        <f t="shared" si="6"/>
        <v>1042.66</v>
      </c>
      <c r="Q20" s="19">
        <f t="shared" si="6"/>
        <v>1233.42</v>
      </c>
      <c r="R20" s="19">
        <f t="shared" si="6"/>
        <v>987.9</v>
      </c>
      <c r="S20" s="19">
        <f t="shared" si="6"/>
        <v>1260.36</v>
      </c>
      <c r="T20" s="19">
        <f t="shared" si="6"/>
        <v>610.4065</v>
      </c>
      <c r="U20" s="19">
        <f t="shared" si="6"/>
        <v>9.82</v>
      </c>
      <c r="V20" s="19">
        <f t="shared" si="6"/>
        <v>15.6</v>
      </c>
      <c r="W20" s="19">
        <f t="shared" si="6"/>
        <v>12.4</v>
      </c>
      <c r="X20" s="19">
        <f t="shared" si="6"/>
        <v>622.817</v>
      </c>
      <c r="Y20" s="19"/>
      <c r="Z20" s="19"/>
      <c r="AA20" s="19"/>
      <c r="AB20" s="19"/>
      <c r="AC20" s="54"/>
      <c r="AD20" s="18"/>
    </row>
    <row r="21" s="5" customFormat="1" ht="41" customHeight="1" spans="1:30">
      <c r="A21" s="18" t="s">
        <v>31</v>
      </c>
      <c r="B21" s="21" t="s">
        <v>87</v>
      </c>
      <c r="C21" s="22"/>
      <c r="D21" s="23"/>
      <c r="E21" s="18"/>
      <c r="F21" s="19"/>
      <c r="G21" s="19"/>
      <c r="H21" s="19"/>
      <c r="I21" s="19"/>
      <c r="J21" s="19"/>
      <c r="K21" s="19"/>
      <c r="L21" s="19"/>
      <c r="M21" s="19"/>
      <c r="N21" s="19"/>
      <c r="O21" s="19"/>
      <c r="P21" s="19"/>
      <c r="Q21" s="19"/>
      <c r="R21" s="19"/>
      <c r="S21" s="19"/>
      <c r="T21" s="19"/>
      <c r="U21" s="19"/>
      <c r="V21" s="19"/>
      <c r="W21" s="19"/>
      <c r="X21" s="19"/>
      <c r="Y21" s="19"/>
      <c r="Z21" s="19"/>
      <c r="AA21" s="19"/>
      <c r="AB21" s="19"/>
      <c r="AC21" s="54"/>
      <c r="AD21" s="58"/>
    </row>
    <row r="22" s="6" customFormat="1" ht="55" customHeight="1" collapsed="1" spans="1:30">
      <c r="A22" s="20">
        <v>1</v>
      </c>
      <c r="B22" s="20" t="s">
        <v>88</v>
      </c>
      <c r="C22" s="24" t="s">
        <v>89</v>
      </c>
      <c r="D22" s="20" t="s">
        <v>65</v>
      </c>
      <c r="E22" s="20" t="s">
        <v>66</v>
      </c>
      <c r="F22" s="25">
        <f>SUM(G22:X22)</f>
        <v>171488.4318</v>
      </c>
      <c r="G22" s="25">
        <f>SUM(G23:G28)</f>
        <v>13600.8404</v>
      </c>
      <c r="H22" s="25">
        <f>SUM(H23:H28)</f>
        <v>12750.697</v>
      </c>
      <c r="I22" s="25">
        <f>SUM(I23:I28)</f>
        <v>14847.904</v>
      </c>
      <c r="J22" s="25">
        <f>SUM(J23:J28)</f>
        <v>12705.98</v>
      </c>
      <c r="K22" s="25">
        <f t="shared" ref="K22:S22" si="7">SUM(K23:K28)</f>
        <v>15146.75</v>
      </c>
      <c r="L22" s="25">
        <f t="shared" si="7"/>
        <v>13687.8896</v>
      </c>
      <c r="M22" s="25">
        <f t="shared" si="7"/>
        <v>0</v>
      </c>
      <c r="N22" s="25">
        <f t="shared" si="7"/>
        <v>0</v>
      </c>
      <c r="O22" s="25">
        <f t="shared" si="7"/>
        <v>0</v>
      </c>
      <c r="P22" s="25">
        <f t="shared" si="7"/>
        <v>11943.2842</v>
      </c>
      <c r="Q22" s="25">
        <f t="shared" si="7"/>
        <v>16849.9824</v>
      </c>
      <c r="R22" s="25">
        <f t="shared" si="7"/>
        <v>12750.697</v>
      </c>
      <c r="S22" s="25">
        <f t="shared" si="7"/>
        <v>17399.0061</v>
      </c>
      <c r="T22" s="29">
        <f>12208.13*1.13</f>
        <v>13795.1869</v>
      </c>
      <c r="U22" s="25">
        <f>SUM(U23:U28)</f>
        <v>941.76</v>
      </c>
      <c r="V22" s="25">
        <f>SUM(V23:V28)</f>
        <v>879.56</v>
      </c>
      <c r="W22" s="25">
        <f>SUM(W23:W28)</f>
        <v>113.23</v>
      </c>
      <c r="X22" s="29">
        <f>1.13*12456.34</f>
        <v>14075.6642</v>
      </c>
      <c r="Y22" s="25"/>
      <c r="Z22" s="25"/>
      <c r="AA22" s="25"/>
      <c r="AB22" s="25"/>
      <c r="AC22" s="56"/>
      <c r="AD22" s="24"/>
    </row>
    <row r="23" s="6" customFormat="1" ht="55" hidden="1" customHeight="1" outlineLevel="1" spans="1:30">
      <c r="A23" s="20">
        <v>1.1</v>
      </c>
      <c r="B23" s="20" t="s">
        <v>74</v>
      </c>
      <c r="C23" s="20"/>
      <c r="D23" s="20"/>
      <c r="E23" s="20"/>
      <c r="F23" s="25">
        <f t="shared" ref="F23:F29" si="8">G23+H23+I23+J23+K23+L23+P23+Q23+R23+S23+T23+U23+V23+W23+X23+M23+N23+O23</f>
        <v>30777.3873</v>
      </c>
      <c r="G23" s="25">
        <v>2682.705</v>
      </c>
      <c r="H23" s="25">
        <v>2715.787</v>
      </c>
      <c r="I23" s="25">
        <v>3285.4604</v>
      </c>
      <c r="J23" s="25">
        <v>2671.07</v>
      </c>
      <c r="K23" s="25">
        <v>3111.56</v>
      </c>
      <c r="L23" s="25">
        <v>2616.482</v>
      </c>
      <c r="M23" s="25"/>
      <c r="N23" s="25"/>
      <c r="O23" s="25"/>
      <c r="P23" s="25">
        <f>2036.2464+289.83</f>
        <v>2326.0764</v>
      </c>
      <c r="Q23" s="25">
        <f>2922.7372+331.61-166.14+84.22+175.34</f>
        <v>3347.7672</v>
      </c>
      <c r="R23" s="25">
        <f t="shared" ref="R23:R29" si="9">H23</f>
        <v>2715.787</v>
      </c>
      <c r="S23" s="25">
        <f>2818.3783+194.92+356.844</f>
        <v>3370.1423</v>
      </c>
      <c r="T23" s="25"/>
      <c r="U23" s="25">
        <f>933.52+8.24</f>
        <v>941.76</v>
      </c>
      <c r="V23" s="25">
        <v>879.56</v>
      </c>
      <c r="W23" s="25">
        <v>113.23</v>
      </c>
      <c r="X23" s="25"/>
      <c r="Y23" s="25"/>
      <c r="Z23" s="25"/>
      <c r="AA23" s="25"/>
      <c r="AB23" s="25"/>
      <c r="AC23" s="56"/>
      <c r="AD23" s="24"/>
    </row>
    <row r="24" s="6" customFormat="1" ht="55" hidden="1" customHeight="1" outlineLevel="1" spans="1:30">
      <c r="A24" s="20">
        <v>1.2</v>
      </c>
      <c r="B24" s="20" t="s">
        <v>75</v>
      </c>
      <c r="C24" s="20"/>
      <c r="D24" s="20"/>
      <c r="E24" s="20"/>
      <c r="F24" s="25">
        <f t="shared" si="8"/>
        <v>25011.7071</v>
      </c>
      <c r="G24" s="25">
        <v>2542.58</v>
      </c>
      <c r="H24" s="25">
        <v>2194.11</v>
      </c>
      <c r="I24" s="25">
        <v>2568.0677</v>
      </c>
      <c r="J24" s="25">
        <v>2194.11</v>
      </c>
      <c r="K24" s="25">
        <v>2743.82</v>
      </c>
      <c r="L24" s="25">
        <v>2515.5189</v>
      </c>
      <c r="M24" s="25"/>
      <c r="N24" s="25"/>
      <c r="O24" s="25"/>
      <c r="P24" s="25">
        <f>2039.2872+87.8809</f>
        <v>2127.1681</v>
      </c>
      <c r="Q24" s="25">
        <f>2787.1877+114.72</f>
        <v>2901.9077</v>
      </c>
      <c r="R24" s="25">
        <f t="shared" si="9"/>
        <v>2194.11</v>
      </c>
      <c r="S24" s="25">
        <f>2623.9693+21.5674+384.778</f>
        <v>3030.3147</v>
      </c>
      <c r="T24" s="25"/>
      <c r="U24" s="25"/>
      <c r="V24" s="25"/>
      <c r="W24" s="25"/>
      <c r="X24" s="25"/>
      <c r="Y24" s="25"/>
      <c r="Z24" s="25"/>
      <c r="AA24" s="25"/>
      <c r="AB24" s="25"/>
      <c r="AC24" s="56"/>
      <c r="AD24" s="24"/>
    </row>
    <row r="25" s="6" customFormat="1" ht="55" hidden="1" customHeight="1" outlineLevel="1" spans="1:30">
      <c r="A25" s="20">
        <v>1.3</v>
      </c>
      <c r="B25" s="20" t="s">
        <v>76</v>
      </c>
      <c r="C25" s="20"/>
      <c r="D25" s="20"/>
      <c r="E25" s="20"/>
      <c r="F25" s="25">
        <f t="shared" si="8"/>
        <v>22523.6874</v>
      </c>
      <c r="G25" s="25">
        <v>2266.21</v>
      </c>
      <c r="H25" s="25">
        <v>1972.64</v>
      </c>
      <c r="I25" s="25">
        <v>2320.509</v>
      </c>
      <c r="J25" s="25">
        <v>1972.64</v>
      </c>
      <c r="K25" s="25">
        <v>2482.49</v>
      </c>
      <c r="L25" s="25">
        <v>2262.4179</v>
      </c>
      <c r="M25" s="25"/>
      <c r="N25" s="25"/>
      <c r="O25" s="25"/>
      <c r="P25" s="25">
        <f>1821.4955+87.8809</f>
        <v>1909.3764</v>
      </c>
      <c r="Q25" s="25">
        <f>2501.3446+114.6</f>
        <v>2615.9446</v>
      </c>
      <c r="R25" s="25">
        <f t="shared" si="9"/>
        <v>1972.64</v>
      </c>
      <c r="S25" s="25">
        <f>2334.7334+21.1768+392.9093</f>
        <v>2748.8195</v>
      </c>
      <c r="T25" s="25"/>
      <c r="U25" s="25"/>
      <c r="V25" s="25"/>
      <c r="W25" s="25"/>
      <c r="X25" s="25"/>
      <c r="Y25" s="25"/>
      <c r="Z25" s="25"/>
      <c r="AA25" s="25"/>
      <c r="AB25" s="25"/>
      <c r="AC25" s="56"/>
      <c r="AD25" s="24"/>
    </row>
    <row r="26" s="6" customFormat="1" ht="55" hidden="1" customHeight="1" outlineLevel="1" spans="1:30">
      <c r="A26" s="20">
        <v>1.4</v>
      </c>
      <c r="B26" s="20" t="s">
        <v>77</v>
      </c>
      <c r="C26" s="20"/>
      <c r="D26" s="20"/>
      <c r="E26" s="20"/>
      <c r="F26" s="25">
        <f t="shared" si="8"/>
        <v>22620.4236</v>
      </c>
      <c r="G26" s="25">
        <v>2266.03</v>
      </c>
      <c r="H26" s="25">
        <v>1973.68</v>
      </c>
      <c r="I26" s="25">
        <v>2395.4806</v>
      </c>
      <c r="J26" s="25">
        <v>1973.68</v>
      </c>
      <c r="K26" s="25">
        <v>2482.9</v>
      </c>
      <c r="L26" s="25">
        <v>2276.2218</v>
      </c>
      <c r="M26" s="25"/>
      <c r="N26" s="25"/>
      <c r="O26" s="25"/>
      <c r="P26" s="25">
        <f>1823.1164+87.8809</f>
        <v>1910.9973</v>
      </c>
      <c r="Q26" s="25">
        <f>2502.304+114.6</f>
        <v>2616.904</v>
      </c>
      <c r="R26" s="25">
        <f t="shared" si="9"/>
        <v>1973.68</v>
      </c>
      <c r="S26" s="25">
        <f>2336.7631+21.1768+392.91</f>
        <v>2750.8499</v>
      </c>
      <c r="T26" s="25"/>
      <c r="U26" s="25"/>
      <c r="V26" s="25"/>
      <c r="W26" s="25"/>
      <c r="X26" s="25"/>
      <c r="Y26" s="25"/>
      <c r="Z26" s="25"/>
      <c r="AA26" s="25"/>
      <c r="AB26" s="25"/>
      <c r="AC26" s="56"/>
      <c r="AD26" s="24"/>
    </row>
    <row r="27" s="6" customFormat="1" ht="55" hidden="1" customHeight="1" outlineLevel="1" spans="1:30">
      <c r="A27" s="20">
        <v>1.5</v>
      </c>
      <c r="B27" s="20" t="s">
        <v>78</v>
      </c>
      <c r="C27" s="20"/>
      <c r="D27" s="20"/>
      <c r="E27" s="20"/>
      <c r="F27" s="25">
        <f t="shared" si="8"/>
        <v>22058.945</v>
      </c>
      <c r="G27" s="25">
        <v>2227.3716</v>
      </c>
      <c r="H27" s="25">
        <v>1995.58</v>
      </c>
      <c r="I27" s="25">
        <v>2174.6422</v>
      </c>
      <c r="J27" s="25">
        <v>1995.58</v>
      </c>
      <c r="K27" s="25">
        <v>2458.59</v>
      </c>
      <c r="L27" s="25">
        <v>2107.8829</v>
      </c>
      <c r="M27" s="25"/>
      <c r="N27" s="25"/>
      <c r="O27" s="25"/>
      <c r="P27" s="25">
        <f>1794.5966+100.6804</f>
        <v>1895.277</v>
      </c>
      <c r="Q27" s="25">
        <f>2464.0196+134.15</f>
        <v>2598.1696</v>
      </c>
      <c r="R27" s="25">
        <f t="shared" si="9"/>
        <v>1995.58</v>
      </c>
      <c r="S27" s="25">
        <f>2214.978+17.8969+377.3968</f>
        <v>2610.2717</v>
      </c>
      <c r="T27" s="25"/>
      <c r="U27" s="25"/>
      <c r="V27" s="25"/>
      <c r="W27" s="25"/>
      <c r="X27" s="25"/>
      <c r="Y27" s="25"/>
      <c r="Z27" s="25"/>
      <c r="AA27" s="25"/>
      <c r="AB27" s="25"/>
      <c r="AC27" s="56"/>
      <c r="AD27" s="24"/>
    </row>
    <row r="28" s="6" customFormat="1" ht="55" hidden="1" customHeight="1" outlineLevel="1" spans="1:30">
      <c r="A28" s="20">
        <v>1.6</v>
      </c>
      <c r="B28" s="20" t="s">
        <v>79</v>
      </c>
      <c r="C28" s="20"/>
      <c r="D28" s="20"/>
      <c r="E28" s="20"/>
      <c r="F28" s="25">
        <f t="shared" si="8"/>
        <v>20625.4303</v>
      </c>
      <c r="G28" s="25">
        <v>1615.9438</v>
      </c>
      <c r="H28" s="25">
        <v>1898.9</v>
      </c>
      <c r="I28" s="25">
        <v>2103.7441</v>
      </c>
      <c r="J28" s="25">
        <v>1898.9</v>
      </c>
      <c r="K28" s="25">
        <v>1867.39</v>
      </c>
      <c r="L28" s="25">
        <v>1909.3661</v>
      </c>
      <c r="M28" s="25"/>
      <c r="N28" s="25"/>
      <c r="O28" s="25"/>
      <c r="P28" s="25">
        <f>1526.5708+247.8182</f>
        <v>1774.389</v>
      </c>
      <c r="Q28" s="25">
        <f>2715.3193+53.97</f>
        <v>2769.2893</v>
      </c>
      <c r="R28" s="25">
        <f t="shared" si="9"/>
        <v>1898.9</v>
      </c>
      <c r="S28" s="25">
        <f>2747.794+140.814</f>
        <v>2888.608</v>
      </c>
      <c r="T28" s="25"/>
      <c r="U28" s="25"/>
      <c r="V28" s="25"/>
      <c r="W28" s="25"/>
      <c r="X28" s="25"/>
      <c r="Y28" s="25"/>
      <c r="Z28" s="25"/>
      <c r="AA28" s="25"/>
      <c r="AB28" s="25"/>
      <c r="AC28" s="56"/>
      <c r="AD28" s="24"/>
    </row>
    <row r="29" s="3" customFormat="1" ht="69" customHeight="1" spans="1:30">
      <c r="A29" s="20">
        <v>2</v>
      </c>
      <c r="B29" s="20" t="s">
        <v>80</v>
      </c>
      <c r="C29" s="24" t="s">
        <v>81</v>
      </c>
      <c r="D29" s="20" t="s">
        <v>65</v>
      </c>
      <c r="E29" s="20" t="s">
        <v>66</v>
      </c>
      <c r="F29" s="25">
        <f t="shared" ref="F29:F32" si="10">SUM(G29:X29)</f>
        <v>1596.14</v>
      </c>
      <c r="G29" s="25">
        <v>128.54</v>
      </c>
      <c r="H29" s="25">
        <v>127.85</v>
      </c>
      <c r="I29" s="25">
        <v>128.54</v>
      </c>
      <c r="J29" s="25">
        <v>127.85</v>
      </c>
      <c r="K29" s="25">
        <v>128.54</v>
      </c>
      <c r="L29" s="25">
        <v>185.92</v>
      </c>
      <c r="M29" s="25"/>
      <c r="N29" s="25"/>
      <c r="O29" s="47"/>
      <c r="P29" s="25">
        <v>128.49</v>
      </c>
      <c r="Q29" s="25">
        <v>127.98</v>
      </c>
      <c r="R29" s="25">
        <f t="shared" si="9"/>
        <v>127.85</v>
      </c>
      <c r="S29" s="25">
        <v>127.6</v>
      </c>
      <c r="T29" s="25">
        <v>128.49</v>
      </c>
      <c r="U29" s="25"/>
      <c r="V29" s="25"/>
      <c r="W29" s="25"/>
      <c r="X29" s="25">
        <v>128.49</v>
      </c>
      <c r="Y29" s="25"/>
      <c r="Z29" s="25"/>
      <c r="AA29" s="25"/>
      <c r="AB29" s="25"/>
      <c r="AC29" s="56"/>
      <c r="AD29" s="20"/>
    </row>
    <row r="30" s="3" customFormat="1" ht="59" customHeight="1" spans="1:30">
      <c r="A30" s="20">
        <v>3</v>
      </c>
      <c r="B30" s="20" t="s">
        <v>90</v>
      </c>
      <c r="C30" s="24" t="s">
        <v>91</v>
      </c>
      <c r="D30" s="20" t="s">
        <v>65</v>
      </c>
      <c r="E30" s="20" t="s">
        <v>66</v>
      </c>
      <c r="F30" s="25">
        <f t="shared" si="10"/>
        <v>6527.31</v>
      </c>
      <c r="G30" s="25"/>
      <c r="H30" s="25"/>
      <c r="I30" s="25"/>
      <c r="J30" s="25"/>
      <c r="K30" s="25"/>
      <c r="L30" s="25"/>
      <c r="M30" s="25">
        <v>735.04</v>
      </c>
      <c r="N30" s="25">
        <v>517.93</v>
      </c>
      <c r="O30" s="25">
        <v>5274.34</v>
      </c>
      <c r="P30" s="25"/>
      <c r="Q30" s="25"/>
      <c r="R30" s="25"/>
      <c r="S30" s="25"/>
      <c r="T30" s="25"/>
      <c r="U30" s="25"/>
      <c r="V30" s="25"/>
      <c r="W30" s="25"/>
      <c r="X30" s="25"/>
      <c r="Y30" s="25"/>
      <c r="Z30" s="25"/>
      <c r="AA30" s="25"/>
      <c r="AB30" s="25"/>
      <c r="AC30" s="56"/>
      <c r="AD30" s="20"/>
    </row>
    <row r="31" s="3" customFormat="1" ht="59" customHeight="1" spans="1:30">
      <c r="A31" s="20">
        <v>4</v>
      </c>
      <c r="B31" s="20" t="s">
        <v>92</v>
      </c>
      <c r="C31" s="24" t="s">
        <v>93</v>
      </c>
      <c r="D31" s="20" t="s">
        <v>65</v>
      </c>
      <c r="E31" s="20" t="s">
        <v>66</v>
      </c>
      <c r="F31" s="25">
        <f t="shared" si="10"/>
        <v>6527.31</v>
      </c>
      <c r="G31" s="25"/>
      <c r="H31" s="25"/>
      <c r="I31" s="25"/>
      <c r="J31" s="25"/>
      <c r="K31" s="25"/>
      <c r="L31" s="25"/>
      <c r="M31" s="25">
        <v>735.04</v>
      </c>
      <c r="N31" s="25">
        <v>517.93</v>
      </c>
      <c r="O31" s="25">
        <v>5274.34</v>
      </c>
      <c r="P31" s="25"/>
      <c r="Q31" s="25"/>
      <c r="R31" s="25"/>
      <c r="S31" s="25"/>
      <c r="T31" s="25"/>
      <c r="U31" s="25"/>
      <c r="V31" s="25"/>
      <c r="W31" s="25"/>
      <c r="X31" s="25"/>
      <c r="Y31" s="25"/>
      <c r="Z31" s="25"/>
      <c r="AA31" s="25"/>
      <c r="AB31" s="25"/>
      <c r="AC31" s="56"/>
      <c r="AD31" s="20"/>
    </row>
    <row r="32" s="3" customFormat="1" ht="59" customHeight="1" spans="1:30">
      <c r="A32" s="20">
        <v>5</v>
      </c>
      <c r="B32" s="20" t="s">
        <v>82</v>
      </c>
      <c r="C32" s="24" t="s">
        <v>94</v>
      </c>
      <c r="D32" s="20" t="s">
        <v>65</v>
      </c>
      <c r="E32" s="20" t="s">
        <v>66</v>
      </c>
      <c r="F32" s="25">
        <f t="shared" si="10"/>
        <v>37.44</v>
      </c>
      <c r="G32" s="25"/>
      <c r="H32" s="25"/>
      <c r="I32" s="25"/>
      <c r="J32" s="25"/>
      <c r="K32" s="25"/>
      <c r="L32" s="25"/>
      <c r="M32" s="25"/>
      <c r="N32" s="25"/>
      <c r="O32" s="47"/>
      <c r="P32" s="25"/>
      <c r="Q32" s="25"/>
      <c r="R32" s="25"/>
      <c r="S32" s="25"/>
      <c r="T32" s="25"/>
      <c r="U32" s="25">
        <v>8.24</v>
      </c>
      <c r="V32" s="25">
        <v>16</v>
      </c>
      <c r="W32" s="25">
        <v>13.2</v>
      </c>
      <c r="X32" s="25"/>
      <c r="Y32" s="25"/>
      <c r="Z32" s="25"/>
      <c r="AA32" s="25"/>
      <c r="AB32" s="25"/>
      <c r="AC32" s="56"/>
      <c r="AD32" s="20"/>
    </row>
    <row r="33" s="4" customFormat="1" ht="41" customHeight="1" spans="1:30">
      <c r="A33" s="18">
        <v>6</v>
      </c>
      <c r="B33" s="21" t="s">
        <v>87</v>
      </c>
      <c r="C33" s="22"/>
      <c r="D33" s="23"/>
      <c r="E33" s="26" t="s">
        <v>69</v>
      </c>
      <c r="F33" s="19">
        <f>+F22+F29+F30+F31+F32</f>
        <v>186176.6318</v>
      </c>
      <c r="G33" s="19">
        <f t="shared" ref="G33:X33" si="11">SUM(G22:G32)</f>
        <v>27330.2208</v>
      </c>
      <c r="H33" s="19">
        <f t="shared" si="11"/>
        <v>25629.244</v>
      </c>
      <c r="I33" s="19">
        <f t="shared" si="11"/>
        <v>29824.348</v>
      </c>
      <c r="J33" s="19">
        <f t="shared" si="11"/>
        <v>25539.81</v>
      </c>
      <c r="K33" s="19">
        <f t="shared" si="11"/>
        <v>30422.04</v>
      </c>
      <c r="L33" s="19">
        <f t="shared" si="11"/>
        <v>27561.6992</v>
      </c>
      <c r="M33" s="19">
        <f t="shared" si="11"/>
        <v>1470.08</v>
      </c>
      <c r="N33" s="19">
        <f t="shared" si="11"/>
        <v>1035.86</v>
      </c>
      <c r="O33" s="19">
        <f t="shared" si="11"/>
        <v>10548.68</v>
      </c>
      <c r="P33" s="19">
        <f t="shared" si="11"/>
        <v>24015.0584</v>
      </c>
      <c r="Q33" s="19">
        <f t="shared" si="11"/>
        <v>33827.9448</v>
      </c>
      <c r="R33" s="19">
        <f t="shared" si="11"/>
        <v>25629.244</v>
      </c>
      <c r="S33" s="19">
        <f t="shared" si="11"/>
        <v>34925.6122</v>
      </c>
      <c r="T33" s="19">
        <f t="shared" si="11"/>
        <v>13923.6769</v>
      </c>
      <c r="U33" s="19">
        <f t="shared" si="11"/>
        <v>1891.76</v>
      </c>
      <c r="V33" s="19">
        <f t="shared" si="11"/>
        <v>1775.12</v>
      </c>
      <c r="W33" s="19">
        <f t="shared" si="11"/>
        <v>239.66</v>
      </c>
      <c r="X33" s="19">
        <f t="shared" si="11"/>
        <v>14204.1542</v>
      </c>
      <c r="Y33" s="19"/>
      <c r="Z33" s="19"/>
      <c r="AA33" s="19"/>
      <c r="AB33" s="19"/>
      <c r="AC33" s="54"/>
      <c r="AD33" s="18"/>
    </row>
    <row r="34" s="4" customFormat="1" ht="40" customHeight="1" spans="1:30">
      <c r="A34" s="18" t="s">
        <v>95</v>
      </c>
      <c r="B34" s="21" t="s">
        <v>96</v>
      </c>
      <c r="C34" s="22"/>
      <c r="D34" s="23"/>
      <c r="E34" s="26"/>
      <c r="F34" s="19"/>
      <c r="G34" s="19"/>
      <c r="H34" s="19"/>
      <c r="I34" s="19"/>
      <c r="J34" s="19"/>
      <c r="K34" s="19"/>
      <c r="L34" s="19"/>
      <c r="M34" s="19"/>
      <c r="N34" s="19"/>
      <c r="O34" s="19"/>
      <c r="P34" s="19"/>
      <c r="Q34" s="19"/>
      <c r="R34" s="19"/>
      <c r="S34" s="19"/>
      <c r="T34" s="19"/>
      <c r="U34" s="19"/>
      <c r="V34" s="19"/>
      <c r="W34" s="19"/>
      <c r="X34" s="19"/>
      <c r="Y34" s="19"/>
      <c r="Z34" s="19"/>
      <c r="AA34" s="19"/>
      <c r="AB34" s="19"/>
      <c r="AC34" s="54"/>
      <c r="AD34" s="58"/>
    </row>
    <row r="35" s="3" customFormat="1" ht="65" customHeight="1" spans="1:30">
      <c r="A35" s="20">
        <v>1</v>
      </c>
      <c r="B35" s="20" t="s">
        <v>97</v>
      </c>
      <c r="C35" s="24" t="s">
        <v>98</v>
      </c>
      <c r="D35" s="20" t="s">
        <v>65</v>
      </c>
      <c r="E35" s="33" t="s">
        <v>66</v>
      </c>
      <c r="F35" s="25">
        <f t="shared" ref="F35:F40" si="12">SUM(G35:X35)</f>
        <v>1895.9874</v>
      </c>
      <c r="G35" s="25">
        <v>54.25</v>
      </c>
      <c r="H35" s="25">
        <v>119.4</v>
      </c>
      <c r="I35" s="25">
        <v>121.54</v>
      </c>
      <c r="J35" s="25">
        <v>136.4</v>
      </c>
      <c r="K35" s="25">
        <v>193.07</v>
      </c>
      <c r="L35" s="25">
        <v>322.79</v>
      </c>
      <c r="M35" s="25"/>
      <c r="N35" s="25"/>
      <c r="O35" s="25"/>
      <c r="P35" s="25">
        <v>254.0827</v>
      </c>
      <c r="Q35" s="25">
        <f>166.14+35.43</f>
        <v>201.57</v>
      </c>
      <c r="R35" s="25">
        <f t="shared" ref="R35:R38" si="13">H35</f>
        <v>119.4</v>
      </c>
      <c r="S35" s="25">
        <f>114.24+12.6</f>
        <v>126.84</v>
      </c>
      <c r="T35" s="29">
        <f>12208.13*0.01</f>
        <v>122.0813</v>
      </c>
      <c r="U35" s="25"/>
      <c r="V35" s="25"/>
      <c r="W35" s="25"/>
      <c r="X35" s="29">
        <f>0.01*12456.34</f>
        <v>124.5634</v>
      </c>
      <c r="Y35" s="25"/>
      <c r="Z35" s="25"/>
      <c r="AA35" s="25"/>
      <c r="AB35" s="25"/>
      <c r="AC35" s="56"/>
      <c r="AD35" s="59"/>
    </row>
    <row r="36" s="3" customFormat="1" ht="62" customHeight="1" spans="1:30">
      <c r="A36" s="20">
        <v>2</v>
      </c>
      <c r="B36" s="34" t="s">
        <v>99</v>
      </c>
      <c r="C36" s="24" t="s">
        <v>100</v>
      </c>
      <c r="D36" s="20" t="s">
        <v>65</v>
      </c>
      <c r="E36" s="33" t="s">
        <v>66</v>
      </c>
      <c r="F36" s="25">
        <f t="shared" si="12"/>
        <v>35450.8461</v>
      </c>
      <c r="G36" s="25">
        <f>2657.52+314.82</f>
        <v>2972.34</v>
      </c>
      <c r="H36" s="25">
        <f>2208.76+285.65</f>
        <v>2494.41</v>
      </c>
      <c r="I36" s="25">
        <f>2656.67+273.02</f>
        <v>2929.69</v>
      </c>
      <c r="J36" s="25">
        <f>2208.76+285.65</f>
        <v>2494.41</v>
      </c>
      <c r="K36" s="25">
        <f>2745.6+292.13</f>
        <v>3037.73</v>
      </c>
      <c r="L36" s="25">
        <f>2684.4+271.71</f>
        <v>2956.11</v>
      </c>
      <c r="M36" s="25">
        <f>96.18*1.3+431.08*1.3</f>
        <v>685.438</v>
      </c>
      <c r="N36" s="25"/>
      <c r="O36" s="25"/>
      <c r="P36" s="25">
        <f>(212.39+1869.58+292.71)</f>
        <v>2374.68</v>
      </c>
      <c r="Q36" s="25">
        <f>(313.92+2649.94+398.79)</f>
        <v>3362.65</v>
      </c>
      <c r="R36" s="25">
        <f t="shared" si="13"/>
        <v>2494.41</v>
      </c>
      <c r="S36" s="25">
        <f>(304.53+3093.72+40+256.37)</f>
        <v>3694.62</v>
      </c>
      <c r="T36" s="29">
        <f>12208.13*0.46/2</f>
        <v>2807.8699</v>
      </c>
      <c r="U36" s="25">
        <f>158.31</f>
        <v>158.31</v>
      </c>
      <c r="V36" s="25">
        <f>86.05</f>
        <v>86.05</v>
      </c>
      <c r="W36" s="25">
        <f>37.17</f>
        <v>37.17</v>
      </c>
      <c r="X36" s="29">
        <f>0.46*12456.34/2</f>
        <v>2864.9582</v>
      </c>
      <c r="Y36" s="25"/>
      <c r="Z36" s="25"/>
      <c r="AA36" s="25"/>
      <c r="AB36" s="25"/>
      <c r="AC36" s="56"/>
      <c r="AD36" s="59"/>
    </row>
    <row r="37" s="3" customFormat="1" ht="62" customHeight="1" spans="1:30">
      <c r="A37" s="20">
        <v>2</v>
      </c>
      <c r="B37" s="34" t="s">
        <v>99</v>
      </c>
      <c r="C37" s="24" t="s">
        <v>101</v>
      </c>
      <c r="D37" s="20" t="s">
        <v>65</v>
      </c>
      <c r="E37" s="33" t="s">
        <v>66</v>
      </c>
      <c r="F37" s="25">
        <f t="shared" si="12"/>
        <v>35450.8461</v>
      </c>
      <c r="G37" s="25">
        <f>2657.52+314.82</f>
        <v>2972.34</v>
      </c>
      <c r="H37" s="25">
        <f>2208.76+285.65</f>
        <v>2494.41</v>
      </c>
      <c r="I37" s="25">
        <f>2656.67+273.02</f>
        <v>2929.69</v>
      </c>
      <c r="J37" s="25">
        <f>2208.76+285.65</f>
        <v>2494.41</v>
      </c>
      <c r="K37" s="25">
        <f>2745.6+292.13</f>
        <v>3037.73</v>
      </c>
      <c r="L37" s="25">
        <f>2684.4+271.71</f>
        <v>2956.11</v>
      </c>
      <c r="M37" s="25">
        <f>96.18*1.3+431.08*1.3</f>
        <v>685.438</v>
      </c>
      <c r="N37" s="25"/>
      <c r="O37" s="25"/>
      <c r="P37" s="25">
        <f>(212.39+1869.58+292.71)</f>
        <v>2374.68</v>
      </c>
      <c r="Q37" s="25">
        <f>(313.92+2649.94+398.79)</f>
        <v>3362.65</v>
      </c>
      <c r="R37" s="25">
        <f t="shared" si="13"/>
        <v>2494.41</v>
      </c>
      <c r="S37" s="25">
        <f>(304.53+3093.72+40+256.37)</f>
        <v>3694.62</v>
      </c>
      <c r="T37" s="29">
        <f>12208.13*0.46/2</f>
        <v>2807.8699</v>
      </c>
      <c r="U37" s="25">
        <f>158.31</f>
        <v>158.31</v>
      </c>
      <c r="V37" s="25">
        <f>86.05</f>
        <v>86.05</v>
      </c>
      <c r="W37" s="25">
        <f>37.17</f>
        <v>37.17</v>
      </c>
      <c r="X37" s="29">
        <f>0.46*12456.34/2</f>
        <v>2864.9582</v>
      </c>
      <c r="Y37" s="25"/>
      <c r="Z37" s="25"/>
      <c r="AA37" s="25"/>
      <c r="AB37" s="25"/>
      <c r="AC37" s="56"/>
      <c r="AD37" s="59"/>
    </row>
    <row r="38" s="3" customFormat="1" ht="50" customHeight="1" spans="1:30">
      <c r="A38" s="20">
        <v>3</v>
      </c>
      <c r="B38" s="20" t="s">
        <v>102</v>
      </c>
      <c r="C38" s="24" t="s">
        <v>103</v>
      </c>
      <c r="D38" s="20" t="s">
        <v>65</v>
      </c>
      <c r="E38" s="33" t="s">
        <v>66</v>
      </c>
      <c r="F38" s="25">
        <f t="shared" si="12"/>
        <v>35531.9861</v>
      </c>
      <c r="G38" s="25">
        <f>2657.52+314.82</f>
        <v>2972.34</v>
      </c>
      <c r="H38" s="25">
        <f>2208.76+285.65</f>
        <v>2494.41</v>
      </c>
      <c r="I38" s="25">
        <f>2737.81+273.02</f>
        <v>3010.83</v>
      </c>
      <c r="J38" s="25">
        <f>2208.76+285.65</f>
        <v>2494.41</v>
      </c>
      <c r="K38" s="25">
        <f>2745.6+292.13</f>
        <v>3037.73</v>
      </c>
      <c r="L38" s="25">
        <f>2684.4+271.71</f>
        <v>2956.11</v>
      </c>
      <c r="M38" s="25">
        <f>96.18*1.3+431.08*1.3</f>
        <v>685.438</v>
      </c>
      <c r="N38" s="25"/>
      <c r="O38" s="25"/>
      <c r="P38" s="25">
        <f>(212.39+1869.58+292.71)</f>
        <v>2374.68</v>
      </c>
      <c r="Q38" s="25">
        <f>(313.92+2649.94+398.79)</f>
        <v>3362.65</v>
      </c>
      <c r="R38" s="25">
        <f t="shared" si="13"/>
        <v>2494.41</v>
      </c>
      <c r="S38" s="25">
        <f>(304.53+3093.72+40+256.37)</f>
        <v>3694.62</v>
      </c>
      <c r="T38" s="29">
        <f>12208.13*0.23</f>
        <v>2807.8699</v>
      </c>
      <c r="U38" s="25">
        <f>158.31</f>
        <v>158.31</v>
      </c>
      <c r="V38" s="25">
        <v>86.05</v>
      </c>
      <c r="W38" s="25">
        <f>37.17</f>
        <v>37.17</v>
      </c>
      <c r="X38" s="29">
        <f>0.23*12456.34</f>
        <v>2864.9582</v>
      </c>
      <c r="Y38" s="25"/>
      <c r="Z38" s="25"/>
      <c r="AA38" s="25"/>
      <c r="AB38" s="25"/>
      <c r="AC38" s="56"/>
      <c r="AD38" s="59"/>
    </row>
    <row r="39" s="3" customFormat="1" ht="67" customHeight="1" spans="1:30">
      <c r="A39" s="20">
        <v>4</v>
      </c>
      <c r="B39" s="20" t="s">
        <v>90</v>
      </c>
      <c r="C39" s="24" t="s">
        <v>104</v>
      </c>
      <c r="D39" s="20" t="s">
        <v>65</v>
      </c>
      <c r="E39" s="33" t="s">
        <v>66</v>
      </c>
      <c r="F39" s="25">
        <f t="shared" si="12"/>
        <v>4301.1</v>
      </c>
      <c r="G39" s="25"/>
      <c r="H39" s="25"/>
      <c r="I39" s="25"/>
      <c r="J39" s="25"/>
      <c r="K39" s="25"/>
      <c r="L39" s="25"/>
      <c r="M39" s="25"/>
      <c r="N39" s="25">
        <v>489.22</v>
      </c>
      <c r="O39" s="25">
        <f>2162.05+1649.83</f>
        <v>3811.88</v>
      </c>
      <c r="P39" s="25"/>
      <c r="Q39" s="25"/>
      <c r="R39" s="25"/>
      <c r="S39" s="25"/>
      <c r="T39" s="25"/>
      <c r="U39" s="25"/>
      <c r="V39" s="25"/>
      <c r="W39" s="25"/>
      <c r="X39" s="25"/>
      <c r="Y39" s="25"/>
      <c r="Z39" s="25"/>
      <c r="AA39" s="25"/>
      <c r="AB39" s="25"/>
      <c r="AC39" s="56"/>
      <c r="AD39" s="59"/>
    </row>
    <row r="40" s="3" customFormat="1" ht="52" customHeight="1" spans="1:30">
      <c r="A40" s="20">
        <v>5</v>
      </c>
      <c r="B40" s="20" t="s">
        <v>105</v>
      </c>
      <c r="C40" s="24" t="s">
        <v>106</v>
      </c>
      <c r="D40" s="20" t="s">
        <v>65</v>
      </c>
      <c r="E40" s="33" t="s">
        <v>66</v>
      </c>
      <c r="F40" s="25">
        <f t="shared" si="12"/>
        <v>4374.94</v>
      </c>
      <c r="G40" s="25"/>
      <c r="H40" s="25"/>
      <c r="I40" s="25"/>
      <c r="J40" s="25"/>
      <c r="K40" s="25"/>
      <c r="L40" s="25"/>
      <c r="M40" s="25"/>
      <c r="N40" s="25">
        <v>563.06</v>
      </c>
      <c r="O40" s="25">
        <f>2162.05+1649.83</f>
        <v>3811.88</v>
      </c>
      <c r="P40" s="25"/>
      <c r="Q40" s="25"/>
      <c r="R40" s="25"/>
      <c r="S40" s="25"/>
      <c r="T40" s="25"/>
      <c r="U40" s="25"/>
      <c r="V40" s="25"/>
      <c r="W40" s="25"/>
      <c r="X40" s="25"/>
      <c r="Y40" s="25"/>
      <c r="Z40" s="25"/>
      <c r="AA40" s="25"/>
      <c r="AB40" s="25"/>
      <c r="AC40" s="56"/>
      <c r="AD40" s="59"/>
    </row>
    <row r="41" s="4" customFormat="1" ht="39" customHeight="1" spans="1:30">
      <c r="A41" s="18">
        <v>6</v>
      </c>
      <c r="B41" s="21" t="s">
        <v>96</v>
      </c>
      <c r="C41" s="22"/>
      <c r="D41" s="23"/>
      <c r="E41" s="26" t="s">
        <v>66</v>
      </c>
      <c r="F41" s="19">
        <f>SUM(F35:F40)</f>
        <v>117005.7057</v>
      </c>
      <c r="G41" s="19">
        <f t="shared" ref="G41:X41" si="14">SUM(G35:G40)</f>
        <v>8971.27</v>
      </c>
      <c r="H41" s="19">
        <f t="shared" si="14"/>
        <v>7602.63</v>
      </c>
      <c r="I41" s="19">
        <f t="shared" si="14"/>
        <v>8991.75</v>
      </c>
      <c r="J41" s="19">
        <f t="shared" si="14"/>
        <v>7619.63</v>
      </c>
      <c r="K41" s="19">
        <f t="shared" si="14"/>
        <v>9306.26</v>
      </c>
      <c r="L41" s="19">
        <f t="shared" si="14"/>
        <v>9191.12</v>
      </c>
      <c r="M41" s="19">
        <f t="shared" si="14"/>
        <v>2056.314</v>
      </c>
      <c r="N41" s="19">
        <f t="shared" si="14"/>
        <v>1052.28</v>
      </c>
      <c r="O41" s="19">
        <f t="shared" si="14"/>
        <v>7623.76</v>
      </c>
      <c r="P41" s="19">
        <f t="shared" si="14"/>
        <v>7378.1227</v>
      </c>
      <c r="Q41" s="19">
        <f t="shared" si="14"/>
        <v>10289.52</v>
      </c>
      <c r="R41" s="19">
        <f t="shared" si="14"/>
        <v>7602.63</v>
      </c>
      <c r="S41" s="19">
        <f t="shared" si="14"/>
        <v>11210.7</v>
      </c>
      <c r="T41" s="19">
        <f t="shared" si="14"/>
        <v>8545.691</v>
      </c>
      <c r="U41" s="19">
        <f t="shared" si="14"/>
        <v>474.93</v>
      </c>
      <c r="V41" s="19">
        <f t="shared" si="14"/>
        <v>258.15</v>
      </c>
      <c r="W41" s="19">
        <f t="shared" si="14"/>
        <v>111.51</v>
      </c>
      <c r="X41" s="19">
        <f t="shared" si="14"/>
        <v>8719.438</v>
      </c>
      <c r="Y41" s="19"/>
      <c r="Z41" s="19"/>
      <c r="AA41" s="19"/>
      <c r="AB41" s="19"/>
      <c r="AC41" s="54"/>
      <c r="AD41" s="57"/>
    </row>
    <row r="42" s="7" customFormat="1" ht="36" customHeight="1" spans="1:30">
      <c r="A42" s="18" t="s">
        <v>107</v>
      </c>
      <c r="B42" s="35" t="s">
        <v>108</v>
      </c>
      <c r="C42" s="36"/>
      <c r="D42" s="37"/>
      <c r="E42" s="38" t="s">
        <v>69</v>
      </c>
      <c r="F42" s="39">
        <f>F7+F20+F33+F41</f>
        <v>327621.2875</v>
      </c>
      <c r="G42" s="39">
        <f t="shared" ref="G42:X42" si="15">G7+G20+G33+G41</f>
        <v>37519.0908</v>
      </c>
      <c r="H42" s="39">
        <f t="shared" si="15"/>
        <v>34219.774</v>
      </c>
      <c r="I42" s="39">
        <f t="shared" si="15"/>
        <v>39992.093</v>
      </c>
      <c r="J42" s="39">
        <f t="shared" si="15"/>
        <v>34147.34</v>
      </c>
      <c r="K42" s="39">
        <f t="shared" si="15"/>
        <v>41378.708</v>
      </c>
      <c r="L42" s="39">
        <f t="shared" si="15"/>
        <v>37713.9792</v>
      </c>
      <c r="M42" s="39">
        <f t="shared" si="15"/>
        <v>5705.654</v>
      </c>
      <c r="N42" s="39">
        <f t="shared" si="15"/>
        <v>3714.72</v>
      </c>
      <c r="O42" s="39">
        <f t="shared" si="15"/>
        <v>31753.02</v>
      </c>
      <c r="P42" s="39">
        <f t="shared" si="15"/>
        <v>32435.8411</v>
      </c>
      <c r="Q42" s="39">
        <f t="shared" si="15"/>
        <v>45350.8848</v>
      </c>
      <c r="R42" s="39">
        <f t="shared" si="15"/>
        <v>34219.774</v>
      </c>
      <c r="S42" s="39">
        <f t="shared" si="15"/>
        <v>47396.6722</v>
      </c>
      <c r="T42" s="39">
        <f t="shared" si="15"/>
        <v>23079.7744</v>
      </c>
      <c r="U42" s="39">
        <f t="shared" si="15"/>
        <v>2376.51</v>
      </c>
      <c r="V42" s="39">
        <f t="shared" si="15"/>
        <v>2048.87</v>
      </c>
      <c r="W42" s="39">
        <f t="shared" si="15"/>
        <v>363.57</v>
      </c>
      <c r="X42" s="39">
        <f t="shared" si="15"/>
        <v>23546.4092</v>
      </c>
      <c r="Y42" s="39"/>
      <c r="Z42" s="39"/>
      <c r="AA42" s="39"/>
      <c r="AB42" s="60"/>
      <c r="AC42" s="61"/>
      <c r="AD42" s="62"/>
    </row>
    <row r="43" s="8" customFormat="1" ht="36" customHeight="1" spans="1:30">
      <c r="A43" s="40" t="s">
        <v>109</v>
      </c>
      <c r="B43" s="41" t="s">
        <v>110</v>
      </c>
      <c r="C43" s="36"/>
      <c r="D43" s="37"/>
      <c r="E43" s="38" t="s">
        <v>69</v>
      </c>
      <c r="F43" s="42"/>
      <c r="G43" s="42"/>
      <c r="H43" s="42"/>
      <c r="I43" s="42"/>
      <c r="J43" s="42"/>
      <c r="K43" s="42"/>
      <c r="L43" s="42"/>
      <c r="M43" s="42"/>
      <c r="N43" s="42"/>
      <c r="O43" s="42"/>
      <c r="P43" s="48"/>
      <c r="Q43" s="48"/>
      <c r="R43" s="48"/>
      <c r="S43" s="48"/>
      <c r="T43" s="48"/>
      <c r="U43" s="48"/>
      <c r="V43" s="48"/>
      <c r="W43" s="48"/>
      <c r="X43" s="48"/>
      <c r="Y43" s="48"/>
      <c r="Z43" s="48"/>
      <c r="AA43" s="48"/>
      <c r="AB43" s="48"/>
      <c r="AC43" s="61"/>
      <c r="AD43" s="48"/>
    </row>
    <row r="44" s="8" customFormat="1" ht="36" customHeight="1" spans="1:30">
      <c r="A44" s="40" t="s">
        <v>111</v>
      </c>
      <c r="B44" s="35" t="s">
        <v>112</v>
      </c>
      <c r="C44" s="36"/>
      <c r="D44" s="37"/>
      <c r="E44" s="38" t="s">
        <v>69</v>
      </c>
      <c r="F44" s="42"/>
      <c r="G44" s="42"/>
      <c r="H44" s="42"/>
      <c r="I44" s="42"/>
      <c r="J44" s="42"/>
      <c r="K44" s="42"/>
      <c r="L44" s="42"/>
      <c r="M44" s="42"/>
      <c r="N44" s="42"/>
      <c r="O44" s="42"/>
      <c r="P44" s="48"/>
      <c r="Q44" s="48"/>
      <c r="R44" s="48"/>
      <c r="S44" s="48"/>
      <c r="T44" s="48"/>
      <c r="U44" s="48"/>
      <c r="V44" s="48"/>
      <c r="W44" s="48"/>
      <c r="X44" s="48"/>
      <c r="Y44" s="48"/>
      <c r="Z44" s="48"/>
      <c r="AA44" s="48"/>
      <c r="AB44" s="48"/>
      <c r="AC44" s="61"/>
      <c r="AD44" s="48"/>
    </row>
    <row r="45" ht="164" customHeight="1" spans="1:30">
      <c r="A45" s="43" t="s">
        <v>113</v>
      </c>
      <c r="B45" s="44"/>
      <c r="C45" s="45"/>
      <c r="D45" s="45"/>
      <c r="E45" s="45"/>
      <c r="F45" s="46"/>
      <c r="G45" s="46"/>
      <c r="H45" s="46"/>
      <c r="I45" s="46"/>
      <c r="J45" s="46"/>
      <c r="K45" s="46"/>
      <c r="L45" s="46"/>
      <c r="M45" s="46"/>
      <c r="N45" s="46"/>
      <c r="O45" s="46"/>
      <c r="P45" s="45"/>
      <c r="Q45" s="45"/>
      <c r="R45" s="45"/>
      <c r="S45" s="45"/>
      <c r="T45" s="45"/>
      <c r="U45" s="45"/>
      <c r="V45" s="45"/>
      <c r="W45" s="45"/>
      <c r="X45" s="45"/>
      <c r="Y45" s="45"/>
      <c r="Z45" s="45"/>
      <c r="AA45" s="45"/>
      <c r="AB45" s="45"/>
      <c r="AC45" s="63"/>
      <c r="AD45" s="45"/>
    </row>
    <row r="49" ht="27" customHeight="1" spans="22:24">
      <c r="V49" s="50" t="s">
        <v>114</v>
      </c>
      <c r="W49" s="50"/>
      <c r="X49" s="50"/>
    </row>
    <row r="50" ht="27" customHeight="1" spans="22:24">
      <c r="V50" s="50" t="s">
        <v>115</v>
      </c>
      <c r="W50" s="50"/>
      <c r="X50" s="50"/>
    </row>
    <row r="51" ht="27" customHeight="1" spans="22:24">
      <c r="V51" s="50" t="s">
        <v>116</v>
      </c>
      <c r="W51" s="50"/>
      <c r="X51" s="50"/>
    </row>
    <row r="52" ht="27" customHeight="1" spans="22:24">
      <c r="V52" s="50" t="s">
        <v>117</v>
      </c>
      <c r="W52" s="50"/>
      <c r="X52" s="50"/>
    </row>
  </sheetData>
  <mergeCells count="19">
    <mergeCell ref="A1:AD1"/>
    <mergeCell ref="A2:E2"/>
    <mergeCell ref="F2:AB2"/>
    <mergeCell ref="B4:D4"/>
    <mergeCell ref="B7:D7"/>
    <mergeCell ref="B8:D8"/>
    <mergeCell ref="B20:D20"/>
    <mergeCell ref="B21:D21"/>
    <mergeCell ref="B33:D33"/>
    <mergeCell ref="B34:D34"/>
    <mergeCell ref="B41:D41"/>
    <mergeCell ref="B42:D42"/>
    <mergeCell ref="B43:D43"/>
    <mergeCell ref="B44:D44"/>
    <mergeCell ref="A45:AD45"/>
    <mergeCell ref="V49:X49"/>
    <mergeCell ref="V50:X50"/>
    <mergeCell ref="V51:X51"/>
    <mergeCell ref="V52:X52"/>
  </mergeCells>
  <printOptions horizontalCentered="1"/>
  <pageMargins left="0.314583333333333" right="0.314583333333333" top="0.393055555555556" bottom="0.590277777777778" header="0.196527777777778" footer="0.393055555555556"/>
  <pageSetup paperSize="8" scale="4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汇总表</vt:lpstr>
      <vt:lpstr>招标清单2024.10.17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招采中心2</cp:lastModifiedBy>
  <dcterms:created xsi:type="dcterms:W3CDTF">2021-06-17T13:48:00Z</dcterms:created>
  <dcterms:modified xsi:type="dcterms:W3CDTF">2024-10-21T02:15:48Z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B5DECE30895346049705428B367C650D</vt:lpwstr>
  </property>
  <property fmtid="{D5CDD505-2E9C-101B-9397-08002B2CF9AE}" pid="3" name="KSOProductBuildVer">
    <vt:lpwstr>2052-12.1.0.18276</vt:lpwstr>
  </property>
</Properties>
</file>